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2.xml" ContentType="application/vnd.ms-excel.person+xml"/>
  <Override PartName="/xl/persons/person4.xml" ContentType="application/vnd.ms-excel.person+xml"/>
  <Override PartName="/xl/persons/person9.xml" ContentType="application/vnd.ms-excel.person+xml"/>
  <Override PartName="/xl/persons/person5.xml" ContentType="application/vnd.ms-excel.person+xml"/>
  <Override PartName="/xl/persons/person23.xml" ContentType="application/vnd.ms-excel.person+xml"/>
  <Override PartName="/xl/persons/person22.xml" ContentType="application/vnd.ms-excel.person+xml"/>
  <Override PartName="/xl/persons/person0.xml" ContentType="application/vnd.ms-excel.person+xml"/>
  <Override PartName="/xl/persons/person33.xml" ContentType="application/vnd.ms-excel.person+xml"/>
  <Override PartName="/xl/persons/person41.xml" ContentType="application/vnd.ms-excel.person+xml"/>
  <Override PartName="/xl/persons/person35.xml" ContentType="application/vnd.ms-excel.person+xml"/>
  <Override PartName="/xl/persons/person20.xml" ContentType="application/vnd.ms-excel.person+xml"/>
  <Override PartName="/xl/persons/person12.xml" ContentType="application/vnd.ms-excel.person+xml"/>
  <Override PartName="/xl/persons/person17.xml" ContentType="application/vnd.ms-excel.person+xml"/>
  <Override PartName="/xl/persons/person16.xml" ContentType="application/vnd.ms-excel.person+xml"/>
  <Override PartName="/xl/persons/person26.xml" ContentType="application/vnd.ms-excel.person+xml"/>
  <Override PartName="/xl/persons/person32.xml" ContentType="application/vnd.ms-excel.person+xml"/>
  <Override PartName="/xl/persons/person42.xml" ContentType="application/vnd.ms-excel.person+xml"/>
  <Override PartName="/xl/persons/person28.xml" ContentType="application/vnd.ms-excel.person+xml"/>
  <Override PartName="/xl/persons/person40.xml" ContentType="application/vnd.ms-excel.person+xml"/>
  <Override PartName="/xl/persons/person1.xml" ContentType="application/vnd.ms-excel.person+xml"/>
  <Override PartName="/xl/persons/person21.xml" ContentType="application/vnd.ms-excel.person+xml"/>
  <Override PartName="/xl/persons/person7.xml" ContentType="application/vnd.ms-excel.person+xml"/>
  <Override PartName="/xl/persons/person27.xml" ContentType="application/vnd.ms-excel.person+xml"/>
  <Override PartName="/xl/persons/person24.xml" ContentType="application/vnd.ms-excel.person+xml"/>
  <Override PartName="/xl/persons/person15.xml" ContentType="application/vnd.ms-excel.person+xml"/>
  <Override PartName="/xl/persons/person30.xml" ContentType="application/vnd.ms-excel.person+xml"/>
  <Override PartName="/xl/persons/person38.xml" ContentType="application/vnd.ms-excel.person+xml"/>
  <Override PartName="/xl/persons/person44.xml" ContentType="application/vnd.ms-excel.person+xml"/>
  <Override PartName="/xl/persons/person45.xml" ContentType="application/vnd.ms-excel.person+xml"/>
  <Override PartName="/xl/persons/person37.xml" ContentType="application/vnd.ms-excel.person+xml"/>
  <Override PartName="/xl/persons/person31.xml" ContentType="application/vnd.ms-excel.person+xml"/>
  <Override PartName="/xl/persons/person29.xml" ContentType="application/vnd.ms-excel.person+xml"/>
  <Override PartName="/xl/persons/person11.xml" ContentType="application/vnd.ms-excel.person+xml"/>
  <Override PartName="/xl/persons/person19.xml" ContentType="application/vnd.ms-excel.person+xml"/>
  <Override PartName="/xl/persons/person3.xml" ContentType="application/vnd.ms-excel.person+xml"/>
  <Override PartName="/xl/persons/person39.xml" ContentType="application/vnd.ms-excel.person+xml"/>
  <Override PartName="/xl/persons/person8.xml" ContentType="application/vnd.ms-excel.person+xml"/>
  <Override PartName="/xl/persons/person46.xml" ContentType="application/vnd.ms-excel.person+xml"/>
  <Override PartName="/xl/persons/person34.xml" ContentType="application/vnd.ms-excel.person+xml"/>
  <Override PartName="/xl/persons/person14.xml" ContentType="application/vnd.ms-excel.person+xml"/>
  <Override PartName="/xl/persons/person18.xml" ContentType="application/vnd.ms-excel.person+xml"/>
  <Override PartName="/xl/persons/person25.xml" ContentType="application/vnd.ms-excel.person+xml"/>
  <Override PartName="/xl/persons/person43.xml" ContentType="application/vnd.ms-excel.person+xml"/>
  <Override PartName="/xl/persons/person36.xml" ContentType="application/vnd.ms-excel.person+xml"/>
  <Override PartName="/xl/persons/person13.xml" ContentType="application/vnd.ms-excel.person+xml"/>
  <Override PartName="/xl/persons/person6.xml" ContentType="application/vnd.ms-excel.person+xml"/>
  <Override PartName="/xl/persons/person10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dalmypalacios-my.sharepoint.com/personal/contadora_idalmypalacios_onmicrosoft_com/Documents/YOSSARLY/MIS DOCUMENTOS/PYK/2024/Estfros/Marzo/"/>
    </mc:Choice>
  </mc:AlternateContent>
  <xr:revisionPtr revIDLastSave="139" documentId="8_{E02E0172-A908-420B-A464-E488B3B2F546}" xr6:coauthVersionLast="47" xr6:coauthVersionMax="47" xr10:uidLastSave="{EA67B529-1C42-4452-BC03-63354B3004A6}"/>
  <bookViews>
    <workbookView xWindow="-120" yWindow="-120" windowWidth="29040" windowHeight="15720" firstSheet="1" activeTab="2" xr2:uid="{8E7A32EE-77C1-49B1-AC05-7D92B0B48E95}"/>
  </bookViews>
  <sheets>
    <sheet name="202302M" sheetId="14" state="hidden" r:id="rId1"/>
    <sheet name="202401anual" sheetId="9" r:id="rId2"/>
    <sheet name="2024Ej" sheetId="10" r:id="rId3"/>
    <sheet name="202301" sheetId="8" state="hidden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</externalReferences>
  <definedNames>
    <definedName name="_xlnm._FilterDatabase" localSheetId="3" hidden="1">'202301'!$A$5:$S$89</definedName>
    <definedName name="_xlnm._FilterDatabase" localSheetId="0" hidden="1">'202302M'!$A$5:$AD$89</definedName>
    <definedName name="_xlnm._FilterDatabase" localSheetId="1" hidden="1">'202401anual'!$A$5:$O$145</definedName>
    <definedName name="_xlnm._FilterDatabase" localSheetId="2" hidden="1">'2024Ej'!$A$5:$AP$101</definedName>
    <definedName name="_xlnm.Print_Area" localSheetId="3">'202301'!$A$1:$S$89</definedName>
    <definedName name="_xlnm.Print_Area" localSheetId="0">'202302M'!$A$1:$AD$89</definedName>
    <definedName name="_xlnm.Print_Area" localSheetId="1">'202401anual'!$A$1:$O$145</definedName>
    <definedName name="_xlnm.Print_Area" localSheetId="2">'2024Ej'!$A$1:$AP$101</definedName>
    <definedName name="_xlnm.Print_Titles" localSheetId="3">'202301'!$1:$5</definedName>
    <definedName name="_xlnm.Print_Titles" localSheetId="0">'202302M'!$1:$5</definedName>
    <definedName name="_xlnm.Print_Titles" localSheetId="1">'202401anual'!$1:$5</definedName>
    <definedName name="_xlnm.Print_Titles" localSheetId="2">'2024Ej'!$1:$5</definedName>
  </definedNames>
  <calcPr calcId="191029" iterateDelta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7" i="10" l="1"/>
  <c r="I46" i="10"/>
  <c r="I82" i="10"/>
  <c r="I33" i="10"/>
  <c r="I20" i="10"/>
  <c r="I19" i="10"/>
  <c r="I23" i="10"/>
  <c r="I26" i="10"/>
  <c r="D151" i="9" l="1"/>
  <c r="K86" i="10" l="1"/>
  <c r="K85" i="10"/>
  <c r="K84" i="10"/>
  <c r="K83" i="10"/>
  <c r="K82" i="10"/>
  <c r="K81" i="10"/>
  <c r="K80" i="10"/>
  <c r="K79" i="10"/>
  <c r="K78" i="10"/>
  <c r="K77" i="10"/>
  <c r="K75" i="10"/>
  <c r="K74" i="10"/>
  <c r="K73" i="10"/>
  <c r="J50" i="10"/>
  <c r="K49" i="10"/>
  <c r="K48" i="10"/>
  <c r="K46" i="10"/>
  <c r="K45" i="10"/>
  <c r="K44" i="10"/>
  <c r="K43" i="10"/>
  <c r="K42" i="10"/>
  <c r="K41" i="10"/>
  <c r="K40" i="10"/>
  <c r="K39" i="10"/>
  <c r="K37" i="10"/>
  <c r="J27" i="10"/>
  <c r="AN6" i="10"/>
  <c r="K13" i="10"/>
  <c r="K14" i="10"/>
  <c r="K15" i="10"/>
  <c r="J16" i="10"/>
  <c r="B15" i="10" l="1"/>
  <c r="B46" i="10"/>
  <c r="B71" i="10"/>
  <c r="B58" i="10"/>
  <c r="B52" i="10"/>
  <c r="B33" i="10"/>
  <c r="B23" i="10"/>
  <c r="O71" i="9"/>
  <c r="Q142" i="9"/>
  <c r="Q141" i="9"/>
  <c r="Q140" i="9"/>
  <c r="Q139" i="9"/>
  <c r="Q138" i="9"/>
  <c r="Q135" i="9"/>
  <c r="Q134" i="9"/>
  <c r="Q133" i="9"/>
  <c r="Q131" i="9"/>
  <c r="Q130" i="9"/>
  <c r="Q129" i="9"/>
  <c r="Q128" i="9"/>
  <c r="Q127" i="9"/>
  <c r="Q126" i="9"/>
  <c r="Q125" i="9"/>
  <c r="Q124" i="9"/>
  <c r="Q123" i="9"/>
  <c r="Q122" i="9"/>
  <c r="Q121" i="9"/>
  <c r="Q120" i="9"/>
  <c r="Q118" i="9"/>
  <c r="Q117" i="9"/>
  <c r="Q116" i="9"/>
  <c r="Q115" i="9"/>
  <c r="Q114" i="9"/>
  <c r="Q113" i="9"/>
  <c r="Q111" i="9"/>
  <c r="Q110" i="9"/>
  <c r="Q109" i="9"/>
  <c r="Q108" i="9"/>
  <c r="Q107" i="9"/>
  <c r="Q106" i="9"/>
  <c r="Q105" i="9"/>
  <c r="Q104" i="9"/>
  <c r="Q103" i="9"/>
  <c r="Q102" i="9"/>
  <c r="Q101" i="9"/>
  <c r="Q100" i="9"/>
  <c r="Q99" i="9"/>
  <c r="Q98" i="9"/>
  <c r="Q97" i="9"/>
  <c r="Q96" i="9"/>
  <c r="Q95" i="9"/>
  <c r="Q94" i="9"/>
  <c r="Q93" i="9"/>
  <c r="Q90" i="9"/>
  <c r="Q89" i="9"/>
  <c r="Q88" i="9"/>
  <c r="Q87" i="9"/>
  <c r="Q86" i="9"/>
  <c r="Q85" i="9"/>
  <c r="Q83" i="9"/>
  <c r="Q82" i="9"/>
  <c r="Q81" i="9"/>
  <c r="Q79" i="9"/>
  <c r="Q78" i="9"/>
  <c r="Q77" i="9"/>
  <c r="Q76" i="9"/>
  <c r="Q75" i="9"/>
  <c r="Q74" i="9"/>
  <c r="Q73" i="9"/>
  <c r="Q72" i="9"/>
  <c r="Q70" i="9"/>
  <c r="Q69" i="9"/>
  <c r="Q68" i="9"/>
  <c r="Q67" i="9"/>
  <c r="Q66" i="9"/>
  <c r="Q65" i="9"/>
  <c r="Q64" i="9"/>
  <c r="Q63" i="9"/>
  <c r="Q62" i="9"/>
  <c r="Q61" i="9"/>
  <c r="Q60" i="9"/>
  <c r="Q59" i="9"/>
  <c r="Q57" i="9"/>
  <c r="Q56" i="9"/>
  <c r="Q55" i="9"/>
  <c r="Q54" i="9"/>
  <c r="Q53" i="9"/>
  <c r="Q52" i="9"/>
  <c r="Q51" i="9"/>
  <c r="Q50" i="9"/>
  <c r="Q49" i="9"/>
  <c r="Q48" i="9"/>
  <c r="Q47" i="9"/>
  <c r="Q46" i="9"/>
  <c r="Q45" i="9"/>
  <c r="Q44" i="9"/>
  <c r="Q43" i="9"/>
  <c r="Q42" i="9"/>
  <c r="Q41" i="9"/>
  <c r="Q40" i="9"/>
  <c r="Q39" i="9"/>
  <c r="Q38" i="9"/>
  <c r="Q37" i="9"/>
  <c r="Q36" i="9"/>
  <c r="Q35" i="9"/>
  <c r="Q34" i="9"/>
  <c r="Q33" i="9"/>
  <c r="Q32" i="9"/>
  <c r="Q31" i="9"/>
  <c r="Q30" i="9"/>
  <c r="Q29" i="9"/>
  <c r="Q28" i="9"/>
  <c r="Q27" i="9"/>
  <c r="Q26" i="9"/>
  <c r="Q25" i="9"/>
  <c r="Q24" i="9"/>
  <c r="Q23" i="9"/>
  <c r="Q22" i="9"/>
  <c r="Q21" i="9"/>
  <c r="Q20" i="9"/>
  <c r="Q19" i="9"/>
  <c r="Q18" i="9"/>
  <c r="Q17" i="9"/>
  <c r="Q16" i="9"/>
  <c r="Q15" i="9"/>
  <c r="L112" i="9"/>
  <c r="B112" i="9"/>
  <c r="B85" i="9" l="1"/>
  <c r="B39" i="10" s="1"/>
  <c r="B61" i="9"/>
  <c r="B117" i="9"/>
  <c r="B75" i="10" s="1"/>
  <c r="O52" i="9"/>
  <c r="E142" i="9"/>
  <c r="F142" i="9" s="1"/>
  <c r="B142" i="9"/>
  <c r="B91" i="10"/>
  <c r="N124" i="9"/>
  <c r="B124" i="9"/>
  <c r="B90" i="10"/>
  <c r="M123" i="9"/>
  <c r="B123" i="9"/>
  <c r="E120" i="9"/>
  <c r="B120" i="9"/>
  <c r="B47" i="10"/>
  <c r="G132" i="9"/>
  <c r="B132" i="9"/>
  <c r="B42" i="10"/>
  <c r="M99" i="9"/>
  <c r="I99" i="9"/>
  <c r="B99" i="9"/>
  <c r="B49" i="10"/>
  <c r="N135" i="9"/>
  <c r="L135" i="9"/>
  <c r="K135" i="9"/>
  <c r="B135" i="9"/>
  <c r="B48" i="10"/>
  <c r="H118" i="9"/>
  <c r="B118" i="9"/>
  <c r="B45" i="10"/>
  <c r="E114" i="9"/>
  <c r="B114" i="9"/>
  <c r="B38" i="10"/>
  <c r="L84" i="9"/>
  <c r="B84" i="9"/>
  <c r="Q71" i="9"/>
  <c r="B71" i="9"/>
  <c r="N70" i="9"/>
  <c r="M70" i="9"/>
  <c r="L70" i="9"/>
  <c r="K70" i="9"/>
  <c r="J70" i="9"/>
  <c r="I70" i="9"/>
  <c r="H70" i="9"/>
  <c r="G70" i="9"/>
  <c r="B70" i="9"/>
  <c r="H67" i="9"/>
  <c r="I67" i="9"/>
  <c r="B67" i="9"/>
  <c r="B31" i="10"/>
  <c r="B52" i="9"/>
  <c r="B54" i="9"/>
  <c r="N64" i="9"/>
  <c r="M64" i="9"/>
  <c r="B64" i="9"/>
  <c r="F63" i="9"/>
  <c r="B63" i="9"/>
  <c r="L56" i="9"/>
  <c r="K56" i="9"/>
  <c r="J56" i="9"/>
  <c r="I56" i="9"/>
  <c r="H56" i="9"/>
  <c r="B56" i="9"/>
  <c r="K60" i="9"/>
  <c r="B60" i="9"/>
  <c r="K59" i="9"/>
  <c r="B59" i="9"/>
  <c r="G55" i="9"/>
  <c r="B55" i="9"/>
  <c r="B55" i="10"/>
  <c r="B89" i="9"/>
  <c r="B76" i="10"/>
  <c r="J119" i="9"/>
  <c r="B119" i="9"/>
  <c r="B56" i="10"/>
  <c r="B67" i="10"/>
  <c r="B107" i="9"/>
  <c r="B94" i="9"/>
  <c r="N116" i="9"/>
  <c r="M116" i="9"/>
  <c r="L116" i="9"/>
  <c r="K116" i="9"/>
  <c r="J116" i="9"/>
  <c r="I116" i="9"/>
  <c r="H116" i="9"/>
  <c r="G116" i="9"/>
  <c r="F116" i="9"/>
  <c r="E116" i="9"/>
  <c r="I74" i="10" s="1"/>
  <c r="B116" i="9"/>
  <c r="B74" i="10" s="1"/>
  <c r="B86" i="10"/>
  <c r="F25" i="9"/>
  <c r="E25" i="9"/>
  <c r="B25" i="9"/>
  <c r="B17" i="9" s="1"/>
  <c r="B19" i="10" s="1"/>
  <c r="B20" i="10"/>
  <c r="K38" i="9"/>
  <c r="B38" i="9"/>
  <c r="B22" i="9"/>
  <c r="G22" i="9"/>
  <c r="E90" i="9"/>
  <c r="B90" i="9"/>
  <c r="E94" i="9"/>
  <c r="I86" i="10"/>
  <c r="I85" i="10"/>
  <c r="I84" i="10"/>
  <c r="I83" i="10"/>
  <c r="I81" i="10"/>
  <c r="I80" i="10"/>
  <c r="I79" i="10"/>
  <c r="I78" i="10"/>
  <c r="I77" i="10"/>
  <c r="I75" i="10"/>
  <c r="I73" i="10"/>
  <c r="I71" i="10"/>
  <c r="I70" i="10"/>
  <c r="I69" i="10"/>
  <c r="I68" i="10"/>
  <c r="I67" i="10"/>
  <c r="I66" i="10"/>
  <c r="I65" i="10"/>
  <c r="I64" i="10"/>
  <c r="I63" i="10"/>
  <c r="I62" i="10"/>
  <c r="I61" i="10"/>
  <c r="I60" i="10"/>
  <c r="I59" i="10"/>
  <c r="I58" i="10"/>
  <c r="I55" i="10"/>
  <c r="I54" i="10"/>
  <c r="I53" i="10"/>
  <c r="I44" i="10"/>
  <c r="I43" i="10"/>
  <c r="I42" i="10"/>
  <c r="I41" i="10"/>
  <c r="I40" i="10"/>
  <c r="I37" i="10"/>
  <c r="I52" i="10"/>
  <c r="I34" i="10"/>
  <c r="I31" i="10"/>
  <c r="I29" i="10"/>
  <c r="I25" i="10"/>
  <c r="I22" i="10"/>
  <c r="I21" i="10"/>
  <c r="I18" i="10"/>
  <c r="I17" i="10"/>
  <c r="I15" i="10"/>
  <c r="AM13" i="10"/>
  <c r="AO13" i="10" s="1"/>
  <c r="AP13" i="10" s="1"/>
  <c r="AN13" i="10"/>
  <c r="AN14" i="10"/>
  <c r="AN15" i="10"/>
  <c r="AM14" i="10"/>
  <c r="AM15" i="10"/>
  <c r="E13" i="10"/>
  <c r="E14" i="10"/>
  <c r="E15" i="10"/>
  <c r="AO15" i="10" l="1"/>
  <c r="AP15" i="10" s="1"/>
  <c r="AO14" i="10"/>
  <c r="AP14" i="10" s="1"/>
  <c r="G142" i="9"/>
  <c r="H142" i="9" s="1"/>
  <c r="I142" i="9" s="1"/>
  <c r="J142" i="9" s="1"/>
  <c r="K142" i="9" s="1"/>
  <c r="L142" i="9" s="1"/>
  <c r="M142" i="9" s="1"/>
  <c r="N142" i="9" s="1"/>
  <c r="B58" i="9"/>
  <c r="AN12" i="10"/>
  <c r="AN11" i="10"/>
  <c r="AN10" i="10"/>
  <c r="AN9" i="10"/>
  <c r="AN8" i="10"/>
  <c r="AN7" i="10"/>
  <c r="AN16" i="10" s="1"/>
  <c r="O142" i="9" l="1"/>
  <c r="H86" i="10"/>
  <c r="H85" i="10"/>
  <c r="H84" i="10"/>
  <c r="H83" i="10"/>
  <c r="H82" i="10"/>
  <c r="H81" i="10"/>
  <c r="H80" i="10"/>
  <c r="H79" i="10"/>
  <c r="H78" i="10"/>
  <c r="H77" i="10"/>
  <c r="H76" i="10"/>
  <c r="H75" i="10"/>
  <c r="H74" i="10"/>
  <c r="H73" i="10"/>
  <c r="AN38" i="10"/>
  <c r="AN39" i="10"/>
  <c r="AN40" i="10"/>
  <c r="AN41" i="10"/>
  <c r="AN42" i="10"/>
  <c r="AN43" i="10"/>
  <c r="AN44" i="10"/>
  <c r="AN45" i="10"/>
  <c r="AN46" i="10"/>
  <c r="AN47" i="10"/>
  <c r="AN48" i="10"/>
  <c r="AM40" i="10"/>
  <c r="AM41" i="10"/>
  <c r="AM42" i="10"/>
  <c r="AM43" i="10"/>
  <c r="AM44" i="10"/>
  <c r="AM46" i="10"/>
  <c r="H49" i="10"/>
  <c r="H48" i="10"/>
  <c r="H47" i="10"/>
  <c r="H46" i="10"/>
  <c r="H45" i="10"/>
  <c r="H44" i="10"/>
  <c r="H43" i="10"/>
  <c r="H42" i="10"/>
  <c r="H41" i="10"/>
  <c r="H40" i="10"/>
  <c r="H39" i="10"/>
  <c r="H38" i="10"/>
  <c r="H37" i="10"/>
  <c r="AO46" i="10" l="1"/>
  <c r="AP46" i="10" s="1"/>
  <c r="AO44" i="10"/>
  <c r="AP44" i="10" s="1"/>
  <c r="AO43" i="10"/>
  <c r="AP43" i="10" s="1"/>
  <c r="AO41" i="10"/>
  <c r="AP41" i="10" s="1"/>
  <c r="AO40" i="10"/>
  <c r="AP40" i="10" s="1"/>
  <c r="AO42" i="10"/>
  <c r="AP42" i="10" s="1"/>
  <c r="A38" i="10" l="1"/>
  <c r="H15" i="10"/>
  <c r="H14" i="10"/>
  <c r="F16" i="10" l="1"/>
  <c r="F24" i="10"/>
  <c r="F27" i="10"/>
  <c r="F36" i="10"/>
  <c r="F98" i="10"/>
  <c r="AN49" i="10"/>
  <c r="AQ14" i="10"/>
  <c r="F28" i="10" l="1"/>
  <c r="D34" i="10"/>
  <c r="D23" i="10"/>
  <c r="D64" i="10" l="1"/>
  <c r="AN85" i="10" l="1"/>
  <c r="AN84" i="10"/>
  <c r="AN83" i="10"/>
  <c r="AN82" i="10"/>
  <c r="AN81" i="10"/>
  <c r="AN80" i="10"/>
  <c r="AN79" i="10"/>
  <c r="AN78" i="10"/>
  <c r="AN77" i="10"/>
  <c r="AN76" i="10"/>
  <c r="AN75" i="10"/>
  <c r="AN74" i="10"/>
  <c r="AN73" i="10"/>
  <c r="AN72" i="10"/>
  <c r="AN71" i="10"/>
  <c r="AN37" i="10"/>
  <c r="AN50" i="10" l="1"/>
  <c r="AK16" i="10"/>
  <c r="AJ16" i="10"/>
  <c r="AH16" i="10"/>
  <c r="AG16" i="10"/>
  <c r="AE16" i="10"/>
  <c r="AD16" i="10"/>
  <c r="AB16" i="10"/>
  <c r="Y16" i="10"/>
  <c r="X16" i="10"/>
  <c r="V16" i="10"/>
  <c r="U16" i="10"/>
  <c r="S16" i="10"/>
  <c r="R16" i="10"/>
  <c r="P16" i="10"/>
  <c r="O16" i="10"/>
  <c r="M16" i="10"/>
  <c r="L16" i="10"/>
  <c r="G16" i="10"/>
  <c r="C16" i="10"/>
  <c r="B16" i="10"/>
  <c r="D16" i="10"/>
  <c r="E11" i="10"/>
  <c r="E12" i="10"/>
  <c r="D50" i="10"/>
  <c r="D86" i="10"/>
  <c r="E43" i="10"/>
  <c r="E38" i="10"/>
  <c r="J87" i="10"/>
  <c r="L87" i="10"/>
  <c r="M87" i="10"/>
  <c r="O87" i="10"/>
  <c r="P87" i="10"/>
  <c r="R87" i="10"/>
  <c r="S87" i="10"/>
  <c r="U87" i="10"/>
  <c r="V87" i="10"/>
  <c r="Y87" i="10"/>
  <c r="AB87" i="10"/>
  <c r="AD87" i="10"/>
  <c r="AE87" i="10"/>
  <c r="AH87" i="10"/>
  <c r="AK87" i="10"/>
  <c r="AM88" i="10"/>
  <c r="AM92" i="10"/>
  <c r="AM93" i="10"/>
  <c r="D98" i="10"/>
  <c r="G98" i="10"/>
  <c r="I98" i="10"/>
  <c r="J98" i="10"/>
  <c r="M98" i="10"/>
  <c r="P98" i="10"/>
  <c r="S98" i="10"/>
  <c r="U98" i="10"/>
  <c r="V98" i="10"/>
  <c r="X98" i="10"/>
  <c r="Y98" i="10"/>
  <c r="AB98" i="10"/>
  <c r="AE98" i="10"/>
  <c r="AG98" i="10"/>
  <c r="AH98" i="10"/>
  <c r="AJ98" i="10"/>
  <c r="AK98" i="10"/>
  <c r="G50" i="10"/>
  <c r="H50" i="10"/>
  <c r="L50" i="10"/>
  <c r="M50" i="10"/>
  <c r="N50" i="10"/>
  <c r="O50" i="10"/>
  <c r="P50" i="10"/>
  <c r="Q50" i="10"/>
  <c r="R50" i="10"/>
  <c r="S50" i="10"/>
  <c r="T50" i="10"/>
  <c r="U50" i="10"/>
  <c r="V50" i="10"/>
  <c r="W50" i="10"/>
  <c r="X50" i="10"/>
  <c r="Y50" i="10"/>
  <c r="Z50" i="10"/>
  <c r="AA50" i="10"/>
  <c r="AB50" i="10"/>
  <c r="AB99" i="10" s="1"/>
  <c r="AC50" i="10"/>
  <c r="AD50" i="10"/>
  <c r="AE50" i="10"/>
  <c r="AF50" i="10"/>
  <c r="AG50" i="10"/>
  <c r="AH50" i="10"/>
  <c r="AI50" i="10"/>
  <c r="AJ50" i="10"/>
  <c r="AK50" i="10"/>
  <c r="AL50" i="10"/>
  <c r="AM94" i="10"/>
  <c r="AM95" i="10"/>
  <c r="AM97" i="10"/>
  <c r="AM55" i="10"/>
  <c r="AM57" i="10"/>
  <c r="AM58" i="10"/>
  <c r="E60" i="10"/>
  <c r="E61" i="10"/>
  <c r="E62" i="10"/>
  <c r="E63" i="10"/>
  <c r="E66" i="10"/>
  <c r="AM67" i="10"/>
  <c r="AM68" i="10"/>
  <c r="E69" i="10"/>
  <c r="E70" i="10"/>
  <c r="E71" i="10"/>
  <c r="E72" i="10"/>
  <c r="E74" i="10"/>
  <c r="E75" i="10"/>
  <c r="E76" i="10"/>
  <c r="E77" i="10"/>
  <c r="AM80" i="10"/>
  <c r="AO80" i="10" s="1"/>
  <c r="AP80" i="10" s="1"/>
  <c r="AM82" i="10"/>
  <c r="AO82" i="10" s="1"/>
  <c r="AP82" i="10" s="1"/>
  <c r="E42" i="10"/>
  <c r="E47" i="10"/>
  <c r="A41" i="10"/>
  <c r="A40" i="10"/>
  <c r="A42" i="10"/>
  <c r="A43" i="10"/>
  <c r="A44" i="10"/>
  <c r="A45" i="10"/>
  <c r="A46" i="10"/>
  <c r="A47" i="10"/>
  <c r="A48" i="10"/>
  <c r="A49" i="10"/>
  <c r="A39" i="10"/>
  <c r="H61" i="10"/>
  <c r="K61" i="10"/>
  <c r="N61" i="10"/>
  <c r="Q61" i="10"/>
  <c r="T61" i="10"/>
  <c r="W61" i="10"/>
  <c r="X61" i="10"/>
  <c r="Z61" i="10" s="1"/>
  <c r="AC61" i="10"/>
  <c r="AF61" i="10"/>
  <c r="AI61" i="10"/>
  <c r="AL61" i="10"/>
  <c r="AN61" i="10"/>
  <c r="H69" i="10"/>
  <c r="K69" i="10"/>
  <c r="N69" i="10"/>
  <c r="Q69" i="10"/>
  <c r="T69" i="10"/>
  <c r="W69" i="10"/>
  <c r="Z69" i="10"/>
  <c r="AC69" i="10"/>
  <c r="AF69" i="10"/>
  <c r="AI69" i="10"/>
  <c r="AJ69" i="10"/>
  <c r="AL69" i="10" s="1"/>
  <c r="AN69" i="10"/>
  <c r="A97" i="10"/>
  <c r="A96" i="10"/>
  <c r="A90" i="10"/>
  <c r="A91" i="10"/>
  <c r="A92" i="10"/>
  <c r="A93" i="10"/>
  <c r="A94" i="10"/>
  <c r="A95" i="10"/>
  <c r="A89" i="10"/>
  <c r="D142" i="9"/>
  <c r="F131" i="9"/>
  <c r="G131" i="9" s="1"/>
  <c r="H131" i="9" s="1"/>
  <c r="I131" i="9" s="1"/>
  <c r="J131" i="9" s="1"/>
  <c r="K131" i="9" s="1"/>
  <c r="L131" i="9" s="1"/>
  <c r="M131" i="9" s="1"/>
  <c r="N131" i="9" s="1"/>
  <c r="H112" i="9"/>
  <c r="K91" i="9"/>
  <c r="E91" i="9"/>
  <c r="N111" i="9"/>
  <c r="J94" i="9"/>
  <c r="O97" i="9"/>
  <c r="O98" i="9"/>
  <c r="O99" i="9"/>
  <c r="O100" i="9"/>
  <c r="O101" i="9"/>
  <c r="O117" i="9"/>
  <c r="O121" i="9"/>
  <c r="D138" i="9"/>
  <c r="E138" i="9" s="1"/>
  <c r="O129" i="9"/>
  <c r="O130" i="9"/>
  <c r="O122" i="9"/>
  <c r="O123" i="9"/>
  <c r="O124" i="9"/>
  <c r="O125" i="9"/>
  <c r="O126" i="9"/>
  <c r="O127" i="9"/>
  <c r="O128" i="9"/>
  <c r="D120" i="9"/>
  <c r="F120" i="9" s="1"/>
  <c r="G120" i="9" s="1"/>
  <c r="H120" i="9" s="1"/>
  <c r="I120" i="9" s="1"/>
  <c r="J120" i="9" s="1"/>
  <c r="K120" i="9" s="1"/>
  <c r="L120" i="9" s="1"/>
  <c r="M120" i="9" s="1"/>
  <c r="N120" i="9" s="1"/>
  <c r="F132" i="9"/>
  <c r="E132" i="9"/>
  <c r="I47" i="10" s="1"/>
  <c r="D132" i="9"/>
  <c r="C54" i="9"/>
  <c r="D54" i="9"/>
  <c r="E54" i="9"/>
  <c r="I32" i="10" s="1"/>
  <c r="F54" i="9"/>
  <c r="G54" i="9"/>
  <c r="H54" i="9"/>
  <c r="I54" i="9"/>
  <c r="J54" i="9"/>
  <c r="K54" i="9"/>
  <c r="L54" i="9"/>
  <c r="M54" i="9"/>
  <c r="N54" i="9"/>
  <c r="C51" i="9"/>
  <c r="D51" i="9"/>
  <c r="E51" i="9"/>
  <c r="F51" i="9"/>
  <c r="G51" i="9"/>
  <c r="H51" i="9"/>
  <c r="I51" i="9"/>
  <c r="J51" i="9"/>
  <c r="K51" i="9"/>
  <c r="L51" i="9"/>
  <c r="M51" i="9"/>
  <c r="N51" i="9"/>
  <c r="C49" i="9"/>
  <c r="D49" i="9" s="1"/>
  <c r="E49" i="9" s="1"/>
  <c r="F49" i="9" s="1"/>
  <c r="G49" i="9" s="1"/>
  <c r="H49" i="9" s="1"/>
  <c r="I49" i="9" s="1"/>
  <c r="J49" i="9" s="1"/>
  <c r="K49" i="9" s="1"/>
  <c r="L49" i="9" s="1"/>
  <c r="M49" i="9" s="1"/>
  <c r="N49" i="9" s="1"/>
  <c r="O76" i="9"/>
  <c r="O75" i="9"/>
  <c r="O74" i="9"/>
  <c r="O73" i="9"/>
  <c r="O66" i="9"/>
  <c r="O68" i="9"/>
  <c r="O70" i="9"/>
  <c r="K47" i="10" l="1"/>
  <c r="AM47" i="10"/>
  <c r="AO47" i="10" s="1"/>
  <c r="AP47" i="10" s="1"/>
  <c r="P99" i="10"/>
  <c r="S99" i="10"/>
  <c r="AE99" i="10"/>
  <c r="AH99" i="10"/>
  <c r="AN86" i="10"/>
  <c r="D87" i="10"/>
  <c r="E86" i="10"/>
  <c r="AM66" i="10"/>
  <c r="V99" i="10"/>
  <c r="AK99" i="10"/>
  <c r="E46" i="10"/>
  <c r="E82" i="10"/>
  <c r="E81" i="10"/>
  <c r="M99" i="10"/>
  <c r="E58" i="10"/>
  <c r="J99" i="10"/>
  <c r="U99" i="10"/>
  <c r="AM69" i="10"/>
  <c r="AO69" i="10" s="1"/>
  <c r="AP69" i="10" s="1"/>
  <c r="Y99" i="10"/>
  <c r="E57" i="10"/>
  <c r="D99" i="10"/>
  <c r="C98" i="10"/>
  <c r="AM77" i="10"/>
  <c r="AO77" i="10" s="1"/>
  <c r="AP77" i="10" s="1"/>
  <c r="E80" i="10"/>
  <c r="E68" i="10"/>
  <c r="E67" i="10"/>
  <c r="E55" i="10"/>
  <c r="AM75" i="10"/>
  <c r="AO75" i="10" s="1"/>
  <c r="AP75" i="10" s="1"/>
  <c r="AM63" i="10"/>
  <c r="E40" i="10"/>
  <c r="AM86" i="10"/>
  <c r="AO86" i="10" s="1"/>
  <c r="AP86" i="10" s="1"/>
  <c r="AM74" i="10"/>
  <c r="AO74" i="10" s="1"/>
  <c r="AP74" i="10" s="1"/>
  <c r="AM62" i="10"/>
  <c r="E41" i="10"/>
  <c r="AM61" i="10"/>
  <c r="AO61" i="10" s="1"/>
  <c r="AP61" i="10" s="1"/>
  <c r="X87" i="10"/>
  <c r="X99" i="10" s="1"/>
  <c r="AM60" i="10"/>
  <c r="AM72" i="10"/>
  <c r="O132" i="9"/>
  <c r="Q132" i="9" s="1"/>
  <c r="O120" i="9"/>
  <c r="O89" i="9"/>
  <c r="O116" i="9"/>
  <c r="F138" i="9"/>
  <c r="G138" i="9" s="1"/>
  <c r="H138" i="9" s="1"/>
  <c r="I138" i="9" s="1"/>
  <c r="O51" i="9"/>
  <c r="N63" i="9"/>
  <c r="M63" i="9"/>
  <c r="I63" i="9"/>
  <c r="H63" i="9"/>
  <c r="O56" i="9"/>
  <c r="O62" i="9"/>
  <c r="O65" i="9"/>
  <c r="O61" i="9"/>
  <c r="F60" i="9"/>
  <c r="G60" i="9" s="1"/>
  <c r="I60" i="9" s="1"/>
  <c r="L60" i="9" s="1"/>
  <c r="M60" i="9" s="1"/>
  <c r="N60" i="9" s="1"/>
  <c r="D59" i="9"/>
  <c r="O55" i="9"/>
  <c r="D46" i="9"/>
  <c r="AQ61" i="10" l="1"/>
  <c r="K138" i="9"/>
  <c r="L138" i="9" s="1"/>
  <c r="M138" i="9" s="1"/>
  <c r="N138" i="9" s="1"/>
  <c r="J138" i="9"/>
  <c r="O54" i="9"/>
  <c r="O63" i="9"/>
  <c r="O60" i="9"/>
  <c r="C17" i="9" l="1"/>
  <c r="G25" i="9"/>
  <c r="H25" i="9" s="1"/>
  <c r="I25" i="9" s="1"/>
  <c r="J25" i="9" s="1"/>
  <c r="D25" i="9"/>
  <c r="D17" i="9" s="1"/>
  <c r="I39" i="9"/>
  <c r="J39" i="9" s="1"/>
  <c r="K39" i="9" s="1"/>
  <c r="L39" i="9" s="1"/>
  <c r="M39" i="9" s="1"/>
  <c r="N39" i="9" s="1"/>
  <c r="G39" i="9"/>
  <c r="D39" i="9"/>
  <c r="O26" i="9"/>
  <c r="P26" i="9" s="1"/>
  <c r="O30" i="9"/>
  <c r="O32" i="9"/>
  <c r="P32" i="9" s="1"/>
  <c r="O33" i="9"/>
  <c r="O34" i="9"/>
  <c r="P34" i="9" s="1"/>
  <c r="O35" i="9"/>
  <c r="O37" i="9"/>
  <c r="O38" i="9"/>
  <c r="O42" i="9"/>
  <c r="P42" i="9" s="1"/>
  <c r="O19" i="9"/>
  <c r="O20" i="9"/>
  <c r="O21" i="9"/>
  <c r="O22" i="9"/>
  <c r="O24" i="9"/>
  <c r="D15" i="9"/>
  <c r="E15" i="9" s="1"/>
  <c r="F15" i="9" s="1"/>
  <c r="G15" i="9" s="1"/>
  <c r="H15" i="9" s="1"/>
  <c r="I15" i="9" s="1"/>
  <c r="J15" i="9" s="1"/>
  <c r="K15" i="9" s="1"/>
  <c r="L15" i="9" s="1"/>
  <c r="M15" i="9" s="1"/>
  <c r="N15" i="9" s="1"/>
  <c r="E6" i="9"/>
  <c r="I6" i="10" s="1"/>
  <c r="AM6" i="10" s="1"/>
  <c r="F6" i="9"/>
  <c r="G6" i="9"/>
  <c r="H6" i="9"/>
  <c r="I6" i="9"/>
  <c r="J6" i="9"/>
  <c r="K6" i="9"/>
  <c r="L6" i="9"/>
  <c r="M6" i="9"/>
  <c r="N6" i="9"/>
  <c r="E7" i="9"/>
  <c r="I7" i="10" s="1"/>
  <c r="K7" i="10" s="1"/>
  <c r="F7" i="9"/>
  <c r="G7" i="9"/>
  <c r="H7" i="9"/>
  <c r="I7" i="9"/>
  <c r="J7" i="9"/>
  <c r="K7" i="9"/>
  <c r="L7" i="9"/>
  <c r="M7" i="9"/>
  <c r="N7" i="9"/>
  <c r="E8" i="9"/>
  <c r="I8" i="10" s="1"/>
  <c r="K8" i="10" s="1"/>
  <c r="F8" i="9"/>
  <c r="G8" i="9"/>
  <c r="H8" i="9"/>
  <c r="I8" i="9"/>
  <c r="J8" i="9"/>
  <c r="K8" i="9"/>
  <c r="L8" i="9"/>
  <c r="M8" i="9"/>
  <c r="N8" i="9"/>
  <c r="E9" i="9"/>
  <c r="I9" i="10" s="1"/>
  <c r="K9" i="10" s="1"/>
  <c r="F9" i="9"/>
  <c r="G9" i="9"/>
  <c r="H9" i="9"/>
  <c r="I9" i="9"/>
  <c r="J9" i="9"/>
  <c r="K9" i="9"/>
  <c r="L9" i="9"/>
  <c r="M9" i="9"/>
  <c r="N9" i="9"/>
  <c r="E10" i="9"/>
  <c r="I10" i="10" s="1"/>
  <c r="K10" i="10" s="1"/>
  <c r="F10" i="9"/>
  <c r="G10" i="9"/>
  <c r="H10" i="9"/>
  <c r="I10" i="9"/>
  <c r="J10" i="9"/>
  <c r="K10" i="9"/>
  <c r="L10" i="9"/>
  <c r="M10" i="9"/>
  <c r="N10" i="9"/>
  <c r="E11" i="9"/>
  <c r="I11" i="10" s="1"/>
  <c r="K11" i="10" s="1"/>
  <c r="F11" i="9"/>
  <c r="G11" i="9"/>
  <c r="H11" i="9"/>
  <c r="I11" i="9"/>
  <c r="J11" i="9"/>
  <c r="K11" i="9"/>
  <c r="L11" i="9"/>
  <c r="M11" i="9"/>
  <c r="N11" i="9"/>
  <c r="E12" i="9"/>
  <c r="I12" i="10" s="1"/>
  <c r="K12" i="10" s="1"/>
  <c r="F12" i="9"/>
  <c r="G12" i="9"/>
  <c r="H12" i="9"/>
  <c r="I12" i="9"/>
  <c r="J12" i="9"/>
  <c r="K12" i="9"/>
  <c r="L12" i="9"/>
  <c r="M12" i="9"/>
  <c r="N12" i="9"/>
  <c r="P53" i="9"/>
  <c r="P57" i="9"/>
  <c r="P146" i="9"/>
  <c r="P147" i="9"/>
  <c r="P151" i="9"/>
  <c r="P152" i="9"/>
  <c r="P153" i="9"/>
  <c r="P154" i="9"/>
  <c r="P155" i="9"/>
  <c r="D6" i="9"/>
  <c r="D7" i="9"/>
  <c r="D8" i="9"/>
  <c r="D9" i="9"/>
  <c r="D10" i="9"/>
  <c r="D11" i="9"/>
  <c r="D12" i="9"/>
  <c r="C7" i="9"/>
  <c r="C8" i="9"/>
  <c r="C9" i="9"/>
  <c r="C10" i="9"/>
  <c r="C11" i="9"/>
  <c r="C12" i="9"/>
  <c r="C6" i="9"/>
  <c r="AO6" i="10" l="1"/>
  <c r="I16" i="10"/>
  <c r="E9" i="10"/>
  <c r="AM9" i="10"/>
  <c r="AM10" i="10"/>
  <c r="E10" i="10"/>
  <c r="E8" i="10"/>
  <c r="AM8" i="10"/>
  <c r="AO8" i="10" s="1"/>
  <c r="AP8" i="10" s="1"/>
  <c r="E7" i="10"/>
  <c r="AM7" i="10"/>
  <c r="AM11" i="10"/>
  <c r="O10" i="9"/>
  <c r="Q10" i="9" s="1"/>
  <c r="O9" i="9"/>
  <c r="K14" i="9"/>
  <c r="O12" i="9"/>
  <c r="O13" i="9"/>
  <c r="Q13" i="9" s="1"/>
  <c r="L14" i="9"/>
  <c r="J14" i="9"/>
  <c r="H14" i="9"/>
  <c r="O11" i="9"/>
  <c r="Q11" i="9" s="1"/>
  <c r="F14" i="9"/>
  <c r="I14" i="9"/>
  <c r="G14" i="9"/>
  <c r="E14" i="9"/>
  <c r="N14" i="9"/>
  <c r="M14" i="9"/>
  <c r="O7" i="9"/>
  <c r="Q7" i="9" s="1"/>
  <c r="O8" i="9"/>
  <c r="Q8" i="9" s="1"/>
  <c r="L25" i="9"/>
  <c r="M25" i="9" s="1"/>
  <c r="N25" i="9" s="1"/>
  <c r="O39" i="9"/>
  <c r="P12" i="9" l="1"/>
  <c r="Q12" i="9"/>
  <c r="P9" i="9"/>
  <c r="Q9" i="9"/>
  <c r="O25" i="9"/>
  <c r="I59" i="9" l="1"/>
  <c r="L59" i="9" l="1"/>
  <c r="M59" i="9" l="1"/>
  <c r="N59" i="9" l="1"/>
  <c r="O59" i="9" l="1"/>
  <c r="C77" i="9" l="1"/>
  <c r="C72" i="9" s="1"/>
  <c r="P71" i="9"/>
  <c r="P70" i="9"/>
  <c r="P69" i="9"/>
  <c r="P68" i="9"/>
  <c r="P66" i="9"/>
  <c r="P63" i="9"/>
  <c r="P65" i="9"/>
  <c r="P62" i="9"/>
  <c r="P61" i="9"/>
  <c r="P60" i="9"/>
  <c r="B32" i="10"/>
  <c r="C40" i="9"/>
  <c r="P30" i="9"/>
  <c r="P25" i="9"/>
  <c r="P39" i="9"/>
  <c r="P38" i="9"/>
  <c r="C29" i="9"/>
  <c r="P24" i="9"/>
  <c r="E23" i="9"/>
  <c r="E17" i="9" s="1"/>
  <c r="AM19" i="10" s="1"/>
  <c r="P22" i="9"/>
  <c r="P21" i="9"/>
  <c r="P20" i="9"/>
  <c r="P19" i="9"/>
  <c r="A18" i="9"/>
  <c r="K31" i="9"/>
  <c r="O31" i="9" s="1"/>
  <c r="P31" i="9" s="1"/>
  <c r="A12" i="9"/>
  <c r="A11" i="9"/>
  <c r="C141" i="9" l="1"/>
  <c r="P116" i="9"/>
  <c r="P117" i="9"/>
  <c r="AQ69" i="10"/>
  <c r="C115" i="9"/>
  <c r="C134" i="9"/>
  <c r="C88" i="9"/>
  <c r="C140" i="9"/>
  <c r="C95" i="9"/>
  <c r="P122" i="9"/>
  <c r="P123" i="9"/>
  <c r="P124" i="9"/>
  <c r="P126" i="9"/>
  <c r="P127" i="9"/>
  <c r="P125" i="9"/>
  <c r="C139" i="9"/>
  <c r="P128" i="9"/>
  <c r="C133" i="9"/>
  <c r="P129" i="9"/>
  <c r="C104" i="9"/>
  <c r="C102" i="9"/>
  <c r="C105" i="9"/>
  <c r="C86" i="9"/>
  <c r="P130" i="9"/>
  <c r="P59" i="9"/>
  <c r="D77" i="9"/>
  <c r="C41" i="9"/>
  <c r="B36" i="9"/>
  <c r="G18" i="9"/>
  <c r="B72" i="9"/>
  <c r="P73" i="9"/>
  <c r="F23" i="9"/>
  <c r="P37" i="9"/>
  <c r="B27" i="9"/>
  <c r="C28" i="9"/>
  <c r="C27" i="9" s="1"/>
  <c r="AM20" i="10" s="1"/>
  <c r="B51" i="9"/>
  <c r="P52" i="9"/>
  <c r="D29" i="9"/>
  <c r="E29" i="9" s="1"/>
  <c r="F29" i="9" s="1"/>
  <c r="G29" i="9" s="1"/>
  <c r="H29" i="9" s="1"/>
  <c r="I29" i="9" s="1"/>
  <c r="J29" i="9" s="1"/>
  <c r="K29" i="9" s="1"/>
  <c r="L29" i="9" s="1"/>
  <c r="M29" i="9" s="1"/>
  <c r="N29" i="9" s="1"/>
  <c r="D40" i="9"/>
  <c r="P56" i="9"/>
  <c r="AN96" i="10"/>
  <c r="AN95" i="10"/>
  <c r="AO95" i="10" s="1"/>
  <c r="AP95" i="10" s="1"/>
  <c r="AN94" i="10"/>
  <c r="AO94" i="10" s="1"/>
  <c r="AP94" i="10" s="1"/>
  <c r="AN91" i="10"/>
  <c r="AN90" i="10"/>
  <c r="AN89" i="10"/>
  <c r="AO72" i="10"/>
  <c r="AP72" i="10" s="1"/>
  <c r="AN70" i="10"/>
  <c r="AN68" i="10"/>
  <c r="AO68" i="10" s="1"/>
  <c r="AP68" i="10" s="1"/>
  <c r="AN66" i="10"/>
  <c r="AO66" i="10" s="1"/>
  <c r="AP66" i="10" s="1"/>
  <c r="AN64" i="10"/>
  <c r="AN63" i="10"/>
  <c r="AO63" i="10" s="1"/>
  <c r="AP63" i="10" s="1"/>
  <c r="AN60" i="10"/>
  <c r="AO60" i="10" s="1"/>
  <c r="AP60" i="10" s="1"/>
  <c r="AN59" i="10"/>
  <c r="AN56" i="10"/>
  <c r="AN54" i="10"/>
  <c r="AN53" i="10"/>
  <c r="AN35" i="10"/>
  <c r="AN21" i="10"/>
  <c r="AL12" i="10"/>
  <c r="AL11" i="10"/>
  <c r="D88" i="9" l="1"/>
  <c r="E88" i="9" s="1"/>
  <c r="F88" i="9" s="1"/>
  <c r="G88" i="9" s="1"/>
  <c r="H88" i="9" s="1"/>
  <c r="I88" i="9" s="1"/>
  <c r="J88" i="9" s="1"/>
  <c r="K88" i="9" s="1"/>
  <c r="L88" i="9" s="1"/>
  <c r="M88" i="9" s="1"/>
  <c r="N88" i="9" s="1"/>
  <c r="D115" i="9"/>
  <c r="E115" i="9" s="1"/>
  <c r="F115" i="9" s="1"/>
  <c r="G115" i="9" s="1"/>
  <c r="H115" i="9" s="1"/>
  <c r="I115" i="9" s="1"/>
  <c r="J115" i="9" s="1"/>
  <c r="K115" i="9" s="1"/>
  <c r="L115" i="9" s="1"/>
  <c r="M115" i="9" s="1"/>
  <c r="N115" i="9" s="1"/>
  <c r="D134" i="9"/>
  <c r="E134" i="9" s="1"/>
  <c r="F134" i="9" s="1"/>
  <c r="G134" i="9" s="1"/>
  <c r="H134" i="9" s="1"/>
  <c r="I134" i="9" s="1"/>
  <c r="J134" i="9" s="1"/>
  <c r="K134" i="9" s="1"/>
  <c r="L134" i="9" s="1"/>
  <c r="M134" i="9" s="1"/>
  <c r="N134" i="9" s="1"/>
  <c r="D105" i="9"/>
  <c r="E105" i="9" s="1"/>
  <c r="F105" i="9" s="1"/>
  <c r="G105" i="9" s="1"/>
  <c r="H105" i="9" s="1"/>
  <c r="I105" i="9" s="1"/>
  <c r="J105" i="9" s="1"/>
  <c r="K105" i="9" s="1"/>
  <c r="L105" i="9" s="1"/>
  <c r="M105" i="9" s="1"/>
  <c r="N105" i="9" s="1"/>
  <c r="D90" i="9"/>
  <c r="D139" i="9"/>
  <c r="E139" i="9" s="1"/>
  <c r="F139" i="9" s="1"/>
  <c r="G139" i="9" s="1"/>
  <c r="H139" i="9" s="1"/>
  <c r="I139" i="9" s="1"/>
  <c r="J139" i="9" s="1"/>
  <c r="K139" i="9" s="1"/>
  <c r="L139" i="9" s="1"/>
  <c r="M139" i="9" s="1"/>
  <c r="N139" i="9" s="1"/>
  <c r="D102" i="9"/>
  <c r="E102" i="9" s="1"/>
  <c r="F102" i="9" s="1"/>
  <c r="G102" i="9" s="1"/>
  <c r="H102" i="9" s="1"/>
  <c r="I102" i="9" s="1"/>
  <c r="J102" i="9" s="1"/>
  <c r="K102" i="9" s="1"/>
  <c r="L102" i="9" s="1"/>
  <c r="M102" i="9" s="1"/>
  <c r="N102" i="9" s="1"/>
  <c r="D104" i="9"/>
  <c r="E104" i="9" s="1"/>
  <c r="F104" i="9" s="1"/>
  <c r="G104" i="9" s="1"/>
  <c r="H104" i="9" s="1"/>
  <c r="I104" i="9" s="1"/>
  <c r="J104" i="9" s="1"/>
  <c r="K104" i="9" s="1"/>
  <c r="L104" i="9" s="1"/>
  <c r="M104" i="9" s="1"/>
  <c r="N104" i="9" s="1"/>
  <c r="D95" i="9"/>
  <c r="E95" i="9" s="1"/>
  <c r="F95" i="9" s="1"/>
  <c r="G95" i="9" s="1"/>
  <c r="H95" i="9" s="1"/>
  <c r="I95" i="9" s="1"/>
  <c r="J95" i="9" s="1"/>
  <c r="K95" i="9" s="1"/>
  <c r="L95" i="9" s="1"/>
  <c r="M95" i="9" s="1"/>
  <c r="N95" i="9" s="1"/>
  <c r="D86" i="9"/>
  <c r="E86" i="9" s="1"/>
  <c r="F86" i="9" s="1"/>
  <c r="G86" i="9" s="1"/>
  <c r="H86" i="9" s="1"/>
  <c r="I86" i="9" s="1"/>
  <c r="J86" i="9" s="1"/>
  <c r="K86" i="9" s="1"/>
  <c r="L86" i="9" s="1"/>
  <c r="M86" i="9" s="1"/>
  <c r="N86" i="9" s="1"/>
  <c r="D133" i="9"/>
  <c r="E133" i="9" s="1"/>
  <c r="F133" i="9" s="1"/>
  <c r="G133" i="9" s="1"/>
  <c r="H133" i="9" s="1"/>
  <c r="I133" i="9" s="1"/>
  <c r="J133" i="9" s="1"/>
  <c r="K133" i="9" s="1"/>
  <c r="L133" i="9" s="1"/>
  <c r="M133" i="9" s="1"/>
  <c r="N133" i="9" s="1"/>
  <c r="D140" i="9"/>
  <c r="E140" i="9" s="1"/>
  <c r="F140" i="9" s="1"/>
  <c r="G140" i="9" s="1"/>
  <c r="H140" i="9" s="1"/>
  <c r="I140" i="9" s="1"/>
  <c r="J140" i="9" s="1"/>
  <c r="K140" i="9" s="1"/>
  <c r="L140" i="9" s="1"/>
  <c r="M140" i="9" s="1"/>
  <c r="N140" i="9" s="1"/>
  <c r="D141" i="9"/>
  <c r="E141" i="9" s="1"/>
  <c r="F141" i="9" s="1"/>
  <c r="G141" i="9" s="1"/>
  <c r="H141" i="9" s="1"/>
  <c r="I141" i="9" s="1"/>
  <c r="J141" i="9" s="1"/>
  <c r="K141" i="9" s="1"/>
  <c r="L141" i="9" s="1"/>
  <c r="M141" i="9" s="1"/>
  <c r="N141" i="9" s="1"/>
  <c r="B98" i="10"/>
  <c r="B80" i="9"/>
  <c r="C58" i="9"/>
  <c r="E77" i="9"/>
  <c r="D72" i="9"/>
  <c r="F67" i="9"/>
  <c r="G67" i="9" s="1"/>
  <c r="J67" i="9" s="1"/>
  <c r="K67" i="9" s="1"/>
  <c r="L67" i="9" s="1"/>
  <c r="M67" i="9" s="1"/>
  <c r="N67" i="9" s="1"/>
  <c r="O18" i="9"/>
  <c r="P18" i="9" s="1"/>
  <c r="E40" i="9"/>
  <c r="G23" i="9"/>
  <c r="H23" i="9" s="1"/>
  <c r="F17" i="9"/>
  <c r="C36" i="9"/>
  <c r="D41" i="9"/>
  <c r="E41" i="9" s="1"/>
  <c r="F41" i="9" s="1"/>
  <c r="G41" i="9" s="1"/>
  <c r="H41" i="9" s="1"/>
  <c r="I41" i="9" s="1"/>
  <c r="J41" i="9" s="1"/>
  <c r="K41" i="9" s="1"/>
  <c r="L41" i="9" s="1"/>
  <c r="M41" i="9" s="1"/>
  <c r="N41" i="9" s="1"/>
  <c r="O29" i="9"/>
  <c r="P29" i="9" s="1"/>
  <c r="B44" i="9"/>
  <c r="D28" i="9"/>
  <c r="AL72" i="10"/>
  <c r="AJ70" i="10"/>
  <c r="AL32" i="10"/>
  <c r="F135" i="9" l="1"/>
  <c r="G135" i="9" s="1"/>
  <c r="M135" i="9" s="1"/>
  <c r="I49" i="10"/>
  <c r="AM49" i="10" s="1"/>
  <c r="AO49" i="10" s="1"/>
  <c r="AP49" i="10" s="1"/>
  <c r="F118" i="9"/>
  <c r="G118" i="9" s="1"/>
  <c r="I118" i="9" s="1"/>
  <c r="J118" i="9" s="1"/>
  <c r="K118" i="9" s="1"/>
  <c r="L118" i="9" s="1"/>
  <c r="M118" i="9" s="1"/>
  <c r="N118" i="9" s="1"/>
  <c r="I48" i="10"/>
  <c r="AM48" i="10" s="1"/>
  <c r="AO48" i="10" s="1"/>
  <c r="AP48" i="10" s="1"/>
  <c r="O118" i="9"/>
  <c r="F114" i="9"/>
  <c r="G114" i="9" s="1"/>
  <c r="H114" i="9" s="1"/>
  <c r="I114" i="9" s="1"/>
  <c r="J114" i="9" s="1"/>
  <c r="K114" i="9" s="1"/>
  <c r="L114" i="9" s="1"/>
  <c r="M114" i="9" s="1"/>
  <c r="N114" i="9" s="1"/>
  <c r="I45" i="10"/>
  <c r="AM45" i="10" s="1"/>
  <c r="AO45" i="10" s="1"/>
  <c r="AP45" i="10" s="1"/>
  <c r="F85" i="9"/>
  <c r="G85" i="9" s="1"/>
  <c r="I85" i="9" s="1"/>
  <c r="J85" i="9" s="1"/>
  <c r="I39" i="10"/>
  <c r="G90" i="9"/>
  <c r="H90" i="9" s="1"/>
  <c r="I90" i="9" s="1"/>
  <c r="J90" i="9" s="1"/>
  <c r="K90" i="9" s="1"/>
  <c r="L90" i="9" s="1"/>
  <c r="M90" i="9" s="1"/>
  <c r="N90" i="9" s="1"/>
  <c r="I56" i="10"/>
  <c r="O104" i="9"/>
  <c r="E53" i="10"/>
  <c r="AM53" i="10"/>
  <c r="AO53" i="10" s="1"/>
  <c r="AP53" i="10" s="1"/>
  <c r="AL70" i="10"/>
  <c r="AJ87" i="10"/>
  <c r="AJ99" i="10" s="1"/>
  <c r="E49" i="10"/>
  <c r="E84" i="10"/>
  <c r="AM84" i="10"/>
  <c r="AO84" i="10" s="1"/>
  <c r="AP84" i="10" s="1"/>
  <c r="E78" i="10"/>
  <c r="AM78" i="10"/>
  <c r="AO78" i="10" s="1"/>
  <c r="AP78" i="10" s="1"/>
  <c r="E44" i="10"/>
  <c r="E65" i="10"/>
  <c r="AM65" i="10"/>
  <c r="E85" i="10"/>
  <c r="AM85" i="10"/>
  <c r="AO85" i="10" s="1"/>
  <c r="AP85" i="10" s="1"/>
  <c r="C80" i="9"/>
  <c r="E64" i="10"/>
  <c r="AM64" i="10"/>
  <c r="AO64" i="10" s="1"/>
  <c r="AP64" i="10" s="1"/>
  <c r="E83" i="10"/>
  <c r="AM83" i="10"/>
  <c r="AO83" i="10" s="1"/>
  <c r="AP83" i="10" s="1"/>
  <c r="E73" i="10"/>
  <c r="AM73" i="10"/>
  <c r="AO73" i="10" s="1"/>
  <c r="AP73" i="10" s="1"/>
  <c r="E45" i="10"/>
  <c r="AM59" i="10"/>
  <c r="AO59" i="10" s="1"/>
  <c r="AP59" i="10" s="1"/>
  <c r="E59" i="10"/>
  <c r="AM79" i="10"/>
  <c r="AO79" i="10" s="1"/>
  <c r="AP79" i="10" s="1"/>
  <c r="E79" i="10"/>
  <c r="E48" i="10"/>
  <c r="E56" i="10"/>
  <c r="AM54" i="10"/>
  <c r="AO54" i="10" s="1"/>
  <c r="AP54" i="10" s="1"/>
  <c r="E54" i="10"/>
  <c r="E39" i="10"/>
  <c r="C44" i="9"/>
  <c r="F77" i="9"/>
  <c r="E72" i="9"/>
  <c r="D58" i="9"/>
  <c r="O67" i="9"/>
  <c r="P67" i="9" s="1"/>
  <c r="O41" i="9"/>
  <c r="P41" i="9" s="1"/>
  <c r="D36" i="9"/>
  <c r="I23" i="9"/>
  <c r="H17" i="9"/>
  <c r="G17" i="9"/>
  <c r="F40" i="9"/>
  <c r="E36" i="9"/>
  <c r="E28" i="9"/>
  <c r="D27" i="9"/>
  <c r="L85" i="9" l="1"/>
  <c r="M85" i="9" s="1"/>
  <c r="N85" i="9" s="1"/>
  <c r="AM39" i="10"/>
  <c r="AO39" i="10" s="1"/>
  <c r="AP39" i="10" s="1"/>
  <c r="AM56" i="10"/>
  <c r="AO56" i="10" s="1"/>
  <c r="AP56" i="10" s="1"/>
  <c r="F64" i="9"/>
  <c r="E58" i="9"/>
  <c r="G77" i="9"/>
  <c r="F72" i="9"/>
  <c r="G40" i="9"/>
  <c r="F36" i="9"/>
  <c r="F28" i="9"/>
  <c r="E27" i="9"/>
  <c r="E44" i="9" s="1"/>
  <c r="J23" i="9"/>
  <c r="I17" i="9"/>
  <c r="D44" i="9"/>
  <c r="AH27" i="10"/>
  <c r="AI72" i="10"/>
  <c r="AG70" i="10"/>
  <c r="AI11" i="10"/>
  <c r="AI70" i="10" l="1"/>
  <c r="AG87" i="10"/>
  <c r="AG99" i="10" s="1"/>
  <c r="H77" i="9"/>
  <c r="G72" i="9"/>
  <c r="G64" i="9"/>
  <c r="F58" i="9"/>
  <c r="K23" i="9"/>
  <c r="J17" i="9"/>
  <c r="G28" i="9"/>
  <c r="F27" i="9"/>
  <c r="F44" i="9" s="1"/>
  <c r="H40" i="9"/>
  <c r="G36" i="9"/>
  <c r="AH36" i="10"/>
  <c r="AE27" i="10"/>
  <c r="AE36" i="10"/>
  <c r="AE24" i="10"/>
  <c r="H64" i="9" l="1"/>
  <c r="G58" i="9"/>
  <c r="I77" i="9"/>
  <c r="H72" i="9"/>
  <c r="I40" i="9"/>
  <c r="H36" i="9"/>
  <c r="H28" i="9"/>
  <c r="G27" i="9"/>
  <c r="G44" i="9" s="1"/>
  <c r="L23" i="9"/>
  <c r="K17" i="9"/>
  <c r="AE28" i="10"/>
  <c r="AE100" i="10" s="1"/>
  <c r="AE101" i="10" l="1"/>
  <c r="H58" i="9"/>
  <c r="J77" i="9"/>
  <c r="I72" i="9"/>
  <c r="I28" i="9"/>
  <c r="H27" i="9"/>
  <c r="H44" i="9" s="1"/>
  <c r="M23" i="9"/>
  <c r="L17" i="9"/>
  <c r="J40" i="9"/>
  <c r="I36" i="9"/>
  <c r="K77" i="9" l="1"/>
  <c r="J72" i="9"/>
  <c r="I58" i="9"/>
  <c r="N23" i="9"/>
  <c r="N17" i="9" s="1"/>
  <c r="M17" i="9"/>
  <c r="O17" i="9" s="1"/>
  <c r="K40" i="9"/>
  <c r="J36" i="9"/>
  <c r="J28" i="9"/>
  <c r="I27" i="9"/>
  <c r="I44" i="9" s="1"/>
  <c r="AF72" i="10"/>
  <c r="AF70" i="10"/>
  <c r="AF11" i="10"/>
  <c r="O23" i="9" l="1"/>
  <c r="P23" i="9" s="1"/>
  <c r="L77" i="9"/>
  <c r="K72" i="9"/>
  <c r="J58" i="9"/>
  <c r="K28" i="9"/>
  <c r="J27" i="9"/>
  <c r="J44" i="9" s="1"/>
  <c r="L40" i="9"/>
  <c r="K36" i="9"/>
  <c r="K58" i="9" l="1"/>
  <c r="M77" i="9"/>
  <c r="L72" i="9"/>
  <c r="M40" i="9"/>
  <c r="L36" i="9"/>
  <c r="L28" i="9"/>
  <c r="K27" i="9"/>
  <c r="AA70" i="10"/>
  <c r="AC72" i="10"/>
  <c r="AC70" i="10" l="1"/>
  <c r="AA87" i="10"/>
  <c r="N77" i="9"/>
  <c r="N72" i="9" s="1"/>
  <c r="M72" i="9"/>
  <c r="L58" i="9"/>
  <c r="M28" i="9"/>
  <c r="L27" i="9"/>
  <c r="L44" i="9" s="1"/>
  <c r="K44" i="9"/>
  <c r="N40" i="9"/>
  <c r="N36" i="9" s="1"/>
  <c r="M36" i="9"/>
  <c r="AC11" i="10"/>
  <c r="AB24" i="10"/>
  <c r="AB27" i="10"/>
  <c r="AB36" i="10"/>
  <c r="O77" i="9" l="1"/>
  <c r="O72" i="9" s="1"/>
  <c r="M58" i="9"/>
  <c r="O40" i="9"/>
  <c r="P40" i="9" s="1"/>
  <c r="O36" i="9"/>
  <c r="N28" i="9"/>
  <c r="M27" i="9"/>
  <c r="AB28" i="10"/>
  <c r="AB100" i="10" s="1"/>
  <c r="AB101" i="10" s="1"/>
  <c r="N58" i="9" l="1"/>
  <c r="O64" i="9"/>
  <c r="M44" i="9"/>
  <c r="N27" i="9"/>
  <c r="N44" i="9" s="1"/>
  <c r="O28" i="9"/>
  <c r="P28" i="9" s="1"/>
  <c r="N80" i="9" l="1"/>
  <c r="P64" i="9"/>
  <c r="O58" i="9"/>
  <c r="Q58" i="9" s="1"/>
  <c r="O27" i="9"/>
  <c r="Z11" i="10" l="1"/>
  <c r="Z72" i="10" l="1"/>
  <c r="Z70" i="10"/>
  <c r="Y36" i="10"/>
  <c r="Y27" i="10"/>
  <c r="Y24" i="10"/>
  <c r="I80" i="9" l="1"/>
  <c r="Y28" i="10"/>
  <c r="Y100" i="10" s="1"/>
  <c r="Y101" i="10" s="1"/>
  <c r="W70" i="10"/>
  <c r="W72" i="10"/>
  <c r="W11" i="10"/>
  <c r="V36" i="10" l="1"/>
  <c r="V24" i="10"/>
  <c r="V27" i="10"/>
  <c r="V28" i="10" l="1"/>
  <c r="V100" i="10" s="1"/>
  <c r="V101" i="10" s="1"/>
  <c r="AO11" i="10" l="1"/>
  <c r="AP11" i="10" s="1"/>
  <c r="AI99" i="14"/>
  <c r="AI95" i="14"/>
  <c r="AK94" i="14"/>
  <c r="AI92" i="14"/>
  <c r="AI91" i="14"/>
  <c r="AI100" i="14" s="1"/>
  <c r="Z87" i="14"/>
  <c r="Y87" i="14"/>
  <c r="X87" i="14"/>
  <c r="X88" i="14" s="1"/>
  <c r="W87" i="14"/>
  <c r="V87" i="14"/>
  <c r="U87" i="14"/>
  <c r="S87" i="14"/>
  <c r="D87" i="14"/>
  <c r="C87" i="14"/>
  <c r="B87" i="14"/>
  <c r="AB86" i="14"/>
  <c r="E86" i="14"/>
  <c r="AB85" i="14"/>
  <c r="E85" i="14"/>
  <c r="AB84" i="14"/>
  <c r="R84" i="14"/>
  <c r="T84" i="14" s="1"/>
  <c r="O84" i="14"/>
  <c r="Q84" i="14" s="1"/>
  <c r="L84" i="14"/>
  <c r="N84" i="14" s="1"/>
  <c r="I84" i="14"/>
  <c r="F84" i="14"/>
  <c r="H84" i="14" s="1"/>
  <c r="E84" i="14"/>
  <c r="AB83" i="14"/>
  <c r="E83" i="14"/>
  <c r="AB82" i="14"/>
  <c r="R82" i="14"/>
  <c r="T82" i="14" s="1"/>
  <c r="O82" i="14"/>
  <c r="Q82" i="14" s="1"/>
  <c r="L82" i="14"/>
  <c r="N82" i="14" s="1"/>
  <c r="I82" i="14"/>
  <c r="K82" i="14" s="1"/>
  <c r="F82" i="14"/>
  <c r="E82" i="14"/>
  <c r="AB81" i="14"/>
  <c r="E81" i="14"/>
  <c r="AB80" i="14"/>
  <c r="E80" i="14"/>
  <c r="AB79" i="14"/>
  <c r="E79" i="14"/>
  <c r="M78" i="14"/>
  <c r="AB78" i="14" s="1"/>
  <c r="E78" i="14"/>
  <c r="P77" i="14"/>
  <c r="M77" i="14"/>
  <c r="J77" i="14"/>
  <c r="E77" i="14"/>
  <c r="J76" i="14"/>
  <c r="AB76" i="14" s="1"/>
  <c r="E76" i="14"/>
  <c r="AB75" i="14"/>
  <c r="E75" i="14"/>
  <c r="AB74" i="14"/>
  <c r="E74" i="14"/>
  <c r="J73" i="14"/>
  <c r="AB73" i="14" s="1"/>
  <c r="E73" i="14"/>
  <c r="M72" i="14"/>
  <c r="J72" i="14"/>
  <c r="E72" i="14"/>
  <c r="AB71" i="14"/>
  <c r="E71" i="14"/>
  <c r="AB70" i="14"/>
  <c r="E70" i="14"/>
  <c r="AB69" i="14"/>
  <c r="E69" i="14"/>
  <c r="M68" i="14"/>
  <c r="J68" i="14"/>
  <c r="E68" i="14"/>
  <c r="P67" i="14"/>
  <c r="M67" i="14"/>
  <c r="J67" i="14"/>
  <c r="E67" i="14"/>
  <c r="AB66" i="14"/>
  <c r="E66" i="14"/>
  <c r="AB65" i="14"/>
  <c r="E65" i="14"/>
  <c r="AB64" i="14"/>
  <c r="E64" i="14"/>
  <c r="AB63" i="14"/>
  <c r="R63" i="14"/>
  <c r="T63" i="14" s="1"/>
  <c r="O63" i="14"/>
  <c r="Q63" i="14" s="1"/>
  <c r="L63" i="14"/>
  <c r="N63" i="14" s="1"/>
  <c r="I63" i="14"/>
  <c r="K63" i="14" s="1"/>
  <c r="F63" i="14"/>
  <c r="H63" i="14" s="1"/>
  <c r="E63" i="14"/>
  <c r="AB62" i="14"/>
  <c r="R62" i="14"/>
  <c r="T62" i="14" s="1"/>
  <c r="O62" i="14"/>
  <c r="Q62" i="14" s="1"/>
  <c r="L62" i="14"/>
  <c r="N62" i="14" s="1"/>
  <c r="I62" i="14"/>
  <c r="K62" i="14" s="1"/>
  <c r="F62" i="14"/>
  <c r="H62" i="14" s="1"/>
  <c r="E62" i="14"/>
  <c r="M61" i="14"/>
  <c r="J61" i="14"/>
  <c r="E61" i="14"/>
  <c r="AB60" i="14"/>
  <c r="R60" i="14"/>
  <c r="T60" i="14" s="1"/>
  <c r="O60" i="14"/>
  <c r="Q60" i="14" s="1"/>
  <c r="L60" i="14"/>
  <c r="N60" i="14" s="1"/>
  <c r="I60" i="14"/>
  <c r="K60" i="14" s="1"/>
  <c r="F60" i="14"/>
  <c r="E60" i="14"/>
  <c r="AB59" i="14"/>
  <c r="R59" i="14"/>
  <c r="T59" i="14" s="1"/>
  <c r="O59" i="14"/>
  <c r="Q59" i="14" s="1"/>
  <c r="L59" i="14"/>
  <c r="N59" i="14" s="1"/>
  <c r="I59" i="14"/>
  <c r="K59" i="14" s="1"/>
  <c r="F59" i="14"/>
  <c r="H59" i="14" s="1"/>
  <c r="E59" i="14"/>
  <c r="AB58" i="14"/>
  <c r="E58" i="14"/>
  <c r="J57" i="14"/>
  <c r="AB57" i="14" s="1"/>
  <c r="E57" i="14"/>
  <c r="AB56" i="14"/>
  <c r="E56" i="14"/>
  <c r="M55" i="14"/>
  <c r="AB55" i="14" s="1"/>
  <c r="E55" i="14"/>
  <c r="AB54" i="14"/>
  <c r="E54" i="14"/>
  <c r="AB53" i="14"/>
  <c r="E53" i="14"/>
  <c r="P52" i="14"/>
  <c r="AB52" i="14" s="1"/>
  <c r="E52" i="14"/>
  <c r="AB51" i="14"/>
  <c r="R51" i="14"/>
  <c r="T51" i="14" s="1"/>
  <c r="O51" i="14"/>
  <c r="Q51" i="14" s="1"/>
  <c r="L51" i="14"/>
  <c r="N51" i="14" s="1"/>
  <c r="I51" i="14"/>
  <c r="K51" i="14" s="1"/>
  <c r="F51" i="14"/>
  <c r="H51" i="14" s="1"/>
  <c r="E51" i="14"/>
  <c r="AF50" i="14"/>
  <c r="AE50" i="14"/>
  <c r="AB50" i="14"/>
  <c r="E50" i="14"/>
  <c r="AB49" i="14"/>
  <c r="E49" i="14"/>
  <c r="M48" i="14"/>
  <c r="J48" i="14"/>
  <c r="E48" i="14"/>
  <c r="P47" i="14"/>
  <c r="E47" i="14"/>
  <c r="M46" i="14"/>
  <c r="AB46" i="14" s="1"/>
  <c r="E46" i="14"/>
  <c r="AB45" i="14"/>
  <c r="E45" i="14"/>
  <c r="M44" i="14"/>
  <c r="AB44" i="14" s="1"/>
  <c r="E44" i="14"/>
  <c r="M43" i="14"/>
  <c r="J43" i="14"/>
  <c r="E43" i="14"/>
  <c r="AB42" i="14"/>
  <c r="E42" i="14"/>
  <c r="M41" i="14"/>
  <c r="J41" i="14"/>
  <c r="E41" i="14"/>
  <c r="AB40" i="14"/>
  <c r="E40" i="14"/>
  <c r="AB39" i="14"/>
  <c r="E39" i="14"/>
  <c r="M38" i="14"/>
  <c r="J38" i="14"/>
  <c r="E38" i="14"/>
  <c r="AB37" i="14"/>
  <c r="E37" i="14"/>
  <c r="M36" i="14"/>
  <c r="J36" i="14"/>
  <c r="J35" i="14" s="1"/>
  <c r="G36" i="14"/>
  <c r="E36" i="14"/>
  <c r="M35" i="14"/>
  <c r="G35" i="14"/>
  <c r="G87" i="14" s="1"/>
  <c r="E35" i="14"/>
  <c r="AF34" i="14"/>
  <c r="Z34" i="14"/>
  <c r="Y34" i="14"/>
  <c r="X34" i="14"/>
  <c r="W34" i="14"/>
  <c r="V34" i="14"/>
  <c r="U34" i="14"/>
  <c r="D34" i="14"/>
  <c r="AB33" i="14"/>
  <c r="T33" i="14"/>
  <c r="E33" i="14"/>
  <c r="B33" i="14"/>
  <c r="AB32" i="14"/>
  <c r="T32" i="14"/>
  <c r="E32" i="14"/>
  <c r="B32" i="14"/>
  <c r="AB31" i="14"/>
  <c r="E31" i="14"/>
  <c r="B31" i="14"/>
  <c r="S30" i="14"/>
  <c r="P30" i="14"/>
  <c r="G30" i="14"/>
  <c r="E30" i="14"/>
  <c r="B30" i="14"/>
  <c r="S29" i="14"/>
  <c r="P29" i="14"/>
  <c r="G29" i="14"/>
  <c r="E29" i="14"/>
  <c r="B29" i="14"/>
  <c r="S28" i="14"/>
  <c r="P28" i="14"/>
  <c r="G28" i="14"/>
  <c r="E28" i="14"/>
  <c r="B28" i="14"/>
  <c r="B34" i="14" s="1"/>
  <c r="S27" i="14"/>
  <c r="S34" i="14" s="1"/>
  <c r="P27" i="14"/>
  <c r="E27" i="14"/>
  <c r="C27" i="14"/>
  <c r="C34" i="14" s="1"/>
  <c r="E26" i="14"/>
  <c r="P25" i="14"/>
  <c r="M25" i="14"/>
  <c r="J25" i="14"/>
  <c r="G25" i="14"/>
  <c r="E25" i="14"/>
  <c r="E34" i="14" s="1"/>
  <c r="X24" i="14"/>
  <c r="W24" i="14"/>
  <c r="Z23" i="14"/>
  <c r="Y23" i="14"/>
  <c r="Y24" i="14" s="1"/>
  <c r="X23" i="14"/>
  <c r="W23" i="14"/>
  <c r="V23" i="14"/>
  <c r="V24" i="14" s="1"/>
  <c r="U23" i="14"/>
  <c r="S23" i="14"/>
  <c r="E23" i="14"/>
  <c r="D23" i="14"/>
  <c r="D24" i="14" s="1"/>
  <c r="C23" i="14"/>
  <c r="B23" i="14"/>
  <c r="E22" i="14"/>
  <c r="P21" i="14"/>
  <c r="P23" i="14" s="1"/>
  <c r="M21" i="14"/>
  <c r="M23" i="14" s="1"/>
  <c r="J21" i="14"/>
  <c r="G21" i="14"/>
  <c r="E21" i="14"/>
  <c r="Z20" i="14"/>
  <c r="Y20" i="14"/>
  <c r="X20" i="14"/>
  <c r="W20" i="14"/>
  <c r="V20" i="14"/>
  <c r="U20" i="14"/>
  <c r="U24" i="14" s="1"/>
  <c r="D20" i="14"/>
  <c r="C20" i="14"/>
  <c r="S19" i="14"/>
  <c r="P19" i="14"/>
  <c r="G19" i="14"/>
  <c r="E19" i="14"/>
  <c r="B19" i="14"/>
  <c r="S18" i="14"/>
  <c r="P18" i="14"/>
  <c r="M18" i="14"/>
  <c r="E18" i="14"/>
  <c r="B18" i="14"/>
  <c r="AB17" i="14"/>
  <c r="E17" i="14"/>
  <c r="B17" i="14"/>
  <c r="B20" i="14" s="1"/>
  <c r="S16" i="14"/>
  <c r="P16" i="14"/>
  <c r="G16" i="14"/>
  <c r="E16" i="14"/>
  <c r="B16" i="14"/>
  <c r="S15" i="14"/>
  <c r="S20" i="14" s="1"/>
  <c r="P15" i="14"/>
  <c r="E15" i="14"/>
  <c r="B15" i="14"/>
  <c r="M14" i="14"/>
  <c r="AB14" i="14" s="1"/>
  <c r="E14" i="14"/>
  <c r="P13" i="14"/>
  <c r="M13" i="14"/>
  <c r="J13" i="14"/>
  <c r="G13" i="14"/>
  <c r="G20" i="14" s="1"/>
  <c r="E13" i="14"/>
  <c r="E20" i="14" s="1"/>
  <c r="Z12" i="14"/>
  <c r="Y12" i="14"/>
  <c r="X12" i="14"/>
  <c r="W12" i="14"/>
  <c r="V12" i="14"/>
  <c r="U12" i="14"/>
  <c r="S12" i="14"/>
  <c r="G12" i="14"/>
  <c r="F12" i="14"/>
  <c r="D12" i="14"/>
  <c r="C12" i="14"/>
  <c r="B12" i="14"/>
  <c r="AB11" i="14"/>
  <c r="H11" i="14"/>
  <c r="E11" i="14"/>
  <c r="R10" i="14"/>
  <c r="T10" i="14" s="1"/>
  <c r="O10" i="14"/>
  <c r="Q10" i="14" s="1"/>
  <c r="L10" i="14"/>
  <c r="N10" i="14" s="1"/>
  <c r="J10" i="14"/>
  <c r="I10" i="14"/>
  <c r="H10" i="14"/>
  <c r="E10" i="14"/>
  <c r="P9" i="14"/>
  <c r="M9" i="14"/>
  <c r="J9" i="14"/>
  <c r="H9" i="14"/>
  <c r="E9" i="14"/>
  <c r="P8" i="14"/>
  <c r="AB8" i="14" s="1"/>
  <c r="H8" i="14"/>
  <c r="E8" i="14"/>
  <c r="P7" i="14"/>
  <c r="M7" i="14"/>
  <c r="H7" i="14"/>
  <c r="E7" i="14"/>
  <c r="P6" i="14"/>
  <c r="M6" i="14"/>
  <c r="H6" i="14"/>
  <c r="E6" i="14"/>
  <c r="E12" i="14" s="1"/>
  <c r="AA10" i="14" l="1"/>
  <c r="H12" i="14"/>
  <c r="M12" i="14"/>
  <c r="P34" i="14"/>
  <c r="AB6" i="14"/>
  <c r="AB9" i="14"/>
  <c r="AB36" i="14"/>
  <c r="AA82" i="14"/>
  <c r="AC82" i="14" s="1"/>
  <c r="AD82" i="14" s="1"/>
  <c r="AA84" i="14"/>
  <c r="AC84" i="14" s="1"/>
  <c r="AD84" i="14" s="1"/>
  <c r="K84" i="14"/>
  <c r="K10" i="14"/>
  <c r="AB61" i="14"/>
  <c r="AB38" i="14"/>
  <c r="AB43" i="14"/>
  <c r="AB68" i="14"/>
  <c r="AB77" i="14"/>
  <c r="AB41" i="14"/>
  <c r="AB67" i="14"/>
  <c r="AB25" i="14"/>
  <c r="J87" i="14"/>
  <c r="AB13" i="14"/>
  <c r="AB10" i="14"/>
  <c r="AC10" i="14" s="1"/>
  <c r="AD10" i="14" s="1"/>
  <c r="G34" i="14"/>
  <c r="AB72" i="14"/>
  <c r="AB48" i="14"/>
  <c r="M87" i="14"/>
  <c r="U88" i="14"/>
  <c r="X89" i="14"/>
  <c r="J12" i="14"/>
  <c r="E24" i="14"/>
  <c r="U89" i="14"/>
  <c r="D88" i="14"/>
  <c r="AB7" i="14"/>
  <c r="Z24" i="14"/>
  <c r="H60" i="14"/>
  <c r="AA60" i="14"/>
  <c r="AC60" i="14" s="1"/>
  <c r="AD60" i="14" s="1"/>
  <c r="V88" i="14"/>
  <c r="V89" i="14" s="1"/>
  <c r="P20" i="14"/>
  <c r="P24" i="14" s="1"/>
  <c r="G23" i="14"/>
  <c r="G24" i="14" s="1"/>
  <c r="AB21" i="14"/>
  <c r="W88" i="14"/>
  <c r="AA51" i="14"/>
  <c r="AC51" i="14" s="1"/>
  <c r="AD51" i="14" s="1"/>
  <c r="AA59" i="14"/>
  <c r="AC59" i="14" s="1"/>
  <c r="AD59" i="14" s="1"/>
  <c r="Y88" i="14"/>
  <c r="Y89" i="14" s="1"/>
  <c r="P12" i="14"/>
  <c r="E87" i="14"/>
  <c r="E88" i="14" s="1"/>
  <c r="E89" i="14" s="1"/>
  <c r="P87" i="14"/>
  <c r="Z88" i="14"/>
  <c r="Z89" i="14" s="1"/>
  <c r="S24" i="14"/>
  <c r="S88" i="14" s="1"/>
  <c r="S89" i="14" s="1"/>
  <c r="AA62" i="14"/>
  <c r="AC62" i="14" s="1"/>
  <c r="AD62" i="14" s="1"/>
  <c r="D89" i="14"/>
  <c r="B24" i="14"/>
  <c r="B88" i="14" s="1"/>
  <c r="B89" i="14" s="1"/>
  <c r="W89" i="14"/>
  <c r="C24" i="14"/>
  <c r="C88" i="14" s="1"/>
  <c r="AA63" i="14"/>
  <c r="AC63" i="14" s="1"/>
  <c r="AD63" i="14" s="1"/>
  <c r="AB47" i="14"/>
  <c r="H82" i="14"/>
  <c r="AB35" i="14"/>
  <c r="T72" i="10"/>
  <c r="T70" i="10"/>
  <c r="T11" i="10"/>
  <c r="S36" i="10"/>
  <c r="S27" i="10"/>
  <c r="AN62" i="10"/>
  <c r="AO62" i="10" s="1"/>
  <c r="AP62" i="10" s="1"/>
  <c r="AB12" i="14" l="1"/>
  <c r="G88" i="14"/>
  <c r="G89" i="14" s="1"/>
  <c r="AB87" i="14"/>
  <c r="C89" i="14"/>
  <c r="P88" i="14"/>
  <c r="S24" i="10"/>
  <c r="S28" i="10" s="1"/>
  <c r="S100" i="10" s="1"/>
  <c r="S101" i="10" l="1"/>
  <c r="P89" i="14"/>
  <c r="AO9" i="10"/>
  <c r="Q72" i="10"/>
  <c r="Q70" i="10"/>
  <c r="Q11" i="10"/>
  <c r="AO7" i="10" l="1"/>
  <c r="AN18" i="10"/>
  <c r="AN65" i="10"/>
  <c r="AO65" i="10" s="1"/>
  <c r="AP65" i="10" s="1"/>
  <c r="AP7" i="10" l="1"/>
  <c r="AN30" i="10"/>
  <c r="M26" i="14"/>
  <c r="M27" i="14"/>
  <c r="M15" i="14"/>
  <c r="M19" i="14"/>
  <c r="M16" i="14"/>
  <c r="M29" i="14" l="1"/>
  <c r="M28" i="14"/>
  <c r="AB26" i="14"/>
  <c r="M20" i="14"/>
  <c r="M24" i="14" s="1"/>
  <c r="M30" i="14"/>
  <c r="N72" i="10"/>
  <c r="N70" i="10"/>
  <c r="M27" i="10"/>
  <c r="AO10" i="10" l="1"/>
  <c r="M34" i="14"/>
  <c r="M88" i="14" s="1"/>
  <c r="M89" i="14" s="1"/>
  <c r="M24" i="10"/>
  <c r="M28" i="10" s="1"/>
  <c r="N11" i="10"/>
  <c r="M36" i="10"/>
  <c r="AN92" i="10"/>
  <c r="AN57" i="10"/>
  <c r="AO57" i="10" s="1"/>
  <c r="AP57" i="10" s="1"/>
  <c r="AN55" i="10"/>
  <c r="AO55" i="10" s="1"/>
  <c r="AP55" i="10" s="1"/>
  <c r="AN67" i="10"/>
  <c r="AO67" i="10" s="1"/>
  <c r="AP67" i="10" s="1"/>
  <c r="AN58" i="10"/>
  <c r="AO58" i="10" s="1"/>
  <c r="AP58" i="10" s="1"/>
  <c r="AN97" i="10"/>
  <c r="AO97" i="10" s="1"/>
  <c r="AP97" i="10" s="1"/>
  <c r="AN93" i="10"/>
  <c r="AO93" i="10" s="1"/>
  <c r="AP93" i="10" s="1"/>
  <c r="AP10" i="10" l="1"/>
  <c r="AO92" i="10"/>
  <c r="AP92" i="10" s="1"/>
  <c r="AN98" i="10"/>
  <c r="M100" i="10"/>
  <c r="M101" i="10" s="1"/>
  <c r="AN22" i="10"/>
  <c r="J18" i="14"/>
  <c r="AB18" i="14" s="1"/>
  <c r="AN26" i="10"/>
  <c r="J22" i="14"/>
  <c r="AN31" i="10" l="1"/>
  <c r="J27" i="14"/>
  <c r="J28" i="14"/>
  <c r="AB28" i="14" s="1"/>
  <c r="J29" i="14"/>
  <c r="AB29" i="14" s="1"/>
  <c r="J30" i="14"/>
  <c r="AB30" i="14" s="1"/>
  <c r="J19" i="14"/>
  <c r="AB19" i="14" s="1"/>
  <c r="J23" i="14"/>
  <c r="AB22" i="14"/>
  <c r="AB23" i="14" s="1"/>
  <c r="J16" i="14"/>
  <c r="AB16" i="14" s="1"/>
  <c r="AN19" i="10"/>
  <c r="AO19" i="10" s="1"/>
  <c r="J15" i="14"/>
  <c r="J20" i="14" l="1"/>
  <c r="J24" i="14" s="1"/>
  <c r="AB15" i="14"/>
  <c r="AB20" i="14" s="1"/>
  <c r="AB24" i="14" s="1"/>
  <c r="AB27" i="14"/>
  <c r="AB34" i="14" s="1"/>
  <c r="J34" i="14"/>
  <c r="K72" i="10"/>
  <c r="K70" i="10"/>
  <c r="AQ11" i="10"/>
  <c r="AM70" i="10" l="1"/>
  <c r="AO70" i="10" s="1"/>
  <c r="AP70" i="10" s="1"/>
  <c r="AQ72" i="10"/>
  <c r="J88" i="14"/>
  <c r="J89" i="14" s="1"/>
  <c r="AB91" i="14" s="1"/>
  <c r="AB88" i="14"/>
  <c r="AB89" i="14" s="1"/>
  <c r="AN32" i="10"/>
  <c r="AN33" i="10"/>
  <c r="AN34" i="10"/>
  <c r="AN20" i="10"/>
  <c r="AO20" i="10" s="1"/>
  <c r="AN23" i="10"/>
  <c r="AQ70" i="10" l="1"/>
  <c r="G36" i="10"/>
  <c r="G24" i="10"/>
  <c r="H11" i="10" l="1"/>
  <c r="H12" i="10"/>
  <c r="E97" i="10" l="1"/>
  <c r="E96" i="10"/>
  <c r="E95" i="10"/>
  <c r="E94" i="10"/>
  <c r="E93" i="10"/>
  <c r="E92" i="10"/>
  <c r="E91" i="10"/>
  <c r="E90" i="10"/>
  <c r="E89" i="10"/>
  <c r="H72" i="10"/>
  <c r="H70" i="10"/>
  <c r="D36" i="10"/>
  <c r="E34" i="10"/>
  <c r="E33" i="10"/>
  <c r="E32" i="10"/>
  <c r="E29" i="10"/>
  <c r="D27" i="10"/>
  <c r="G27" i="10"/>
  <c r="E26" i="10"/>
  <c r="D24" i="10"/>
  <c r="C24" i="10"/>
  <c r="E23" i="10"/>
  <c r="E22" i="10"/>
  <c r="E21" i="10"/>
  <c r="E20" i="10"/>
  <c r="E19" i="10"/>
  <c r="E18" i="10"/>
  <c r="E17" i="10"/>
  <c r="H10" i="10"/>
  <c r="H9" i="10"/>
  <c r="H7" i="10"/>
  <c r="H6" i="10"/>
  <c r="E6" i="10"/>
  <c r="E16" i="10" s="1"/>
  <c r="AL20" i="10"/>
  <c r="AL92" i="10"/>
  <c r="AL57" i="10"/>
  <c r="O140" i="9"/>
  <c r="P140" i="9" s="1"/>
  <c r="O138" i="9"/>
  <c r="P138" i="9" s="1"/>
  <c r="O109" i="9"/>
  <c r="P109" i="9" s="1"/>
  <c r="O108" i="9"/>
  <c r="P108" i="9" s="1"/>
  <c r="P99" i="9"/>
  <c r="AL97" i="10"/>
  <c r="AI97" i="10"/>
  <c r="AF97" i="10"/>
  <c r="AC97" i="10"/>
  <c r="Z97" i="10"/>
  <c r="W97" i="10"/>
  <c r="N119" i="9"/>
  <c r="AL96" i="10" s="1"/>
  <c r="M119" i="9"/>
  <c r="AI96" i="10" s="1"/>
  <c r="L119" i="9"/>
  <c r="AF96" i="10" s="1"/>
  <c r="K119" i="9"/>
  <c r="AC96" i="10" s="1"/>
  <c r="Z96" i="10"/>
  <c r="W96" i="10"/>
  <c r="H119" i="9"/>
  <c r="G119" i="9"/>
  <c r="E119" i="9"/>
  <c r="I76" i="10" s="1"/>
  <c r="AL95" i="10"/>
  <c r="AI95" i="10"/>
  <c r="AF95" i="10"/>
  <c r="AC95" i="10"/>
  <c r="Z95" i="10"/>
  <c r="W95" i="10"/>
  <c r="AL94" i="10"/>
  <c r="AI94" i="10"/>
  <c r="AF94" i="10"/>
  <c r="AC94" i="10"/>
  <c r="Z94" i="10"/>
  <c r="W94" i="10"/>
  <c r="N137" i="9"/>
  <c r="L137" i="9"/>
  <c r="K137" i="9"/>
  <c r="H137" i="9"/>
  <c r="G137" i="9"/>
  <c r="F137" i="9"/>
  <c r="N136" i="9"/>
  <c r="M136" i="9"/>
  <c r="F86" i="14"/>
  <c r="F83" i="14"/>
  <c r="D137" i="9"/>
  <c r="AM81" i="10" s="1"/>
  <c r="AO81" i="10" s="1"/>
  <c r="AP81" i="10" s="1"/>
  <c r="F74" i="14"/>
  <c r="D119" i="9"/>
  <c r="F70" i="14"/>
  <c r="AI92" i="10"/>
  <c r="AF92" i="10"/>
  <c r="AC92" i="10"/>
  <c r="Z92" i="10"/>
  <c r="W92" i="10"/>
  <c r="AL91" i="10"/>
  <c r="AI91" i="10"/>
  <c r="AF91" i="10"/>
  <c r="AA91" i="10"/>
  <c r="AC91" i="10" s="1"/>
  <c r="Z91" i="10"/>
  <c r="W91" i="10"/>
  <c r="AL90" i="10"/>
  <c r="M112" i="9"/>
  <c r="AI90" i="10" s="1"/>
  <c r="AF90" i="10"/>
  <c r="K112" i="9"/>
  <c r="AA90" i="10" s="1"/>
  <c r="AC90" i="10" s="1"/>
  <c r="Z90" i="10"/>
  <c r="I112" i="9"/>
  <c r="W90" i="10" s="1"/>
  <c r="G112" i="9"/>
  <c r="AL89" i="10"/>
  <c r="AI89" i="10"/>
  <c r="AD89" i="10"/>
  <c r="AA89" i="10"/>
  <c r="Z89" i="10"/>
  <c r="W89" i="10"/>
  <c r="AL71" i="10"/>
  <c r="AI71" i="10"/>
  <c r="AF71" i="10"/>
  <c r="AC71" i="10"/>
  <c r="Z71" i="10"/>
  <c r="W71" i="10"/>
  <c r="AL68" i="10"/>
  <c r="AI68" i="10"/>
  <c r="AF68" i="10"/>
  <c r="AC68" i="10"/>
  <c r="Z68" i="10"/>
  <c r="W68" i="10"/>
  <c r="AL67" i="10"/>
  <c r="AI67" i="10"/>
  <c r="AF67" i="10"/>
  <c r="AC67" i="10"/>
  <c r="Z67" i="10"/>
  <c r="W67" i="10"/>
  <c r="AL65" i="10"/>
  <c r="AI65" i="10"/>
  <c r="AF65" i="10"/>
  <c r="AC65" i="10"/>
  <c r="Z65" i="10"/>
  <c r="W65" i="10"/>
  <c r="AL64" i="10"/>
  <c r="AI64" i="10"/>
  <c r="AF64" i="10"/>
  <c r="AC64" i="10"/>
  <c r="Z64" i="10"/>
  <c r="W64" i="10"/>
  <c r="AL63" i="10"/>
  <c r="AI63" i="10"/>
  <c r="AF63" i="10"/>
  <c r="AC63" i="10"/>
  <c r="Z63" i="10"/>
  <c r="W63" i="10"/>
  <c r="AL62" i="10"/>
  <c r="AI62" i="10"/>
  <c r="AF62" i="10"/>
  <c r="AC62" i="10"/>
  <c r="Z62" i="10"/>
  <c r="W62" i="10"/>
  <c r="AL60" i="10"/>
  <c r="AI60" i="10"/>
  <c r="AF60" i="10"/>
  <c r="AC60" i="10"/>
  <c r="Z60" i="10"/>
  <c r="W60" i="10"/>
  <c r="AL59" i="10"/>
  <c r="AI59" i="10"/>
  <c r="AF59" i="10"/>
  <c r="AC59" i="10"/>
  <c r="Z59" i="10"/>
  <c r="W59" i="10"/>
  <c r="AL58" i="10"/>
  <c r="AI58" i="10"/>
  <c r="AF58" i="10"/>
  <c r="AC58" i="10"/>
  <c r="Z58" i="10"/>
  <c r="W58" i="10"/>
  <c r="N92" i="9"/>
  <c r="M92" i="9"/>
  <c r="L92" i="9"/>
  <c r="J92" i="9"/>
  <c r="I92" i="9"/>
  <c r="H92" i="9"/>
  <c r="G92" i="9"/>
  <c r="E92" i="9"/>
  <c r="D92" i="9"/>
  <c r="M91" i="9"/>
  <c r="L91" i="9"/>
  <c r="AI57" i="10"/>
  <c r="AF57" i="10"/>
  <c r="AC57" i="10"/>
  <c r="Z57" i="10"/>
  <c r="W57" i="10"/>
  <c r="AL56" i="10"/>
  <c r="AI56" i="10"/>
  <c r="AF56" i="10"/>
  <c r="AC56" i="10"/>
  <c r="Z56" i="10"/>
  <c r="W56" i="10"/>
  <c r="AL55" i="10"/>
  <c r="AI55" i="10"/>
  <c r="AF55" i="10"/>
  <c r="AC55" i="10"/>
  <c r="Z55" i="10"/>
  <c r="W55" i="10"/>
  <c r="D91" i="9"/>
  <c r="N84" i="9"/>
  <c r="AL53" i="10" s="1"/>
  <c r="M84" i="9"/>
  <c r="AI53" i="10" s="1"/>
  <c r="AF53" i="10"/>
  <c r="K84" i="9"/>
  <c r="AC53" i="10" s="1"/>
  <c r="J84" i="9"/>
  <c r="Z53" i="10" s="1"/>
  <c r="I84" i="9"/>
  <c r="W53" i="10" s="1"/>
  <c r="G84" i="9"/>
  <c r="F84" i="9"/>
  <c r="E84" i="9"/>
  <c r="I38" i="10" s="1"/>
  <c r="F68" i="14"/>
  <c r="D84" i="9"/>
  <c r="AL34" i="10"/>
  <c r="AI34" i="10"/>
  <c r="F80" i="9"/>
  <c r="E80" i="9"/>
  <c r="D80" i="9"/>
  <c r="AL33" i="10"/>
  <c r="AL30" i="10"/>
  <c r="AJ35" i="10"/>
  <c r="AL35" i="10" s="1"/>
  <c r="AI35" i="10"/>
  <c r="AF35" i="10"/>
  <c r="AA35" i="10"/>
  <c r="AC35" i="10" s="1"/>
  <c r="X35" i="10"/>
  <c r="Z35" i="10" s="1"/>
  <c r="U35" i="10"/>
  <c r="W35" i="10" s="1"/>
  <c r="AF34" i="10"/>
  <c r="AC34" i="10"/>
  <c r="Z34" i="10"/>
  <c r="W34" i="10"/>
  <c r="AI33" i="10"/>
  <c r="AF33" i="10"/>
  <c r="AC33" i="10"/>
  <c r="Z33" i="10"/>
  <c r="W33" i="10"/>
  <c r="W32" i="10"/>
  <c r="H80" i="9"/>
  <c r="G80" i="9"/>
  <c r="AL31" i="10"/>
  <c r="AI31" i="10"/>
  <c r="AF31" i="10"/>
  <c r="AC31" i="10"/>
  <c r="Z31" i="10"/>
  <c r="W31" i="10"/>
  <c r="AI30" i="10"/>
  <c r="AF30" i="10"/>
  <c r="AC30" i="10"/>
  <c r="Z30" i="10"/>
  <c r="W30" i="10"/>
  <c r="AI29" i="10"/>
  <c r="C27" i="8"/>
  <c r="AJ26" i="10"/>
  <c r="AL26" i="10" s="1"/>
  <c r="AI26" i="10"/>
  <c r="AC26" i="10"/>
  <c r="W26" i="10"/>
  <c r="AL23" i="10"/>
  <c r="AL19" i="10"/>
  <c r="Z19" i="10"/>
  <c r="W19" i="10"/>
  <c r="AI23" i="10"/>
  <c r="AF23" i="10"/>
  <c r="AC23" i="10"/>
  <c r="Z23" i="10"/>
  <c r="W23" i="10"/>
  <c r="AL22" i="10"/>
  <c r="AI22" i="10"/>
  <c r="AF22" i="10"/>
  <c r="AC22" i="10"/>
  <c r="Z22" i="10"/>
  <c r="W22" i="10"/>
  <c r="AL21" i="10"/>
  <c r="AI21" i="10"/>
  <c r="AF21" i="10"/>
  <c r="AC21" i="10"/>
  <c r="Z21" i="10"/>
  <c r="W21" i="10"/>
  <c r="AI20" i="10"/>
  <c r="AF20" i="10"/>
  <c r="AC20" i="10"/>
  <c r="Z20" i="10"/>
  <c r="W20" i="10"/>
  <c r="AI19" i="10"/>
  <c r="AF19" i="10"/>
  <c r="AL18" i="10"/>
  <c r="AI18" i="10"/>
  <c r="AF18" i="10"/>
  <c r="AC18" i="10"/>
  <c r="Z18" i="10"/>
  <c r="W18" i="10"/>
  <c r="AF17" i="10"/>
  <c r="AC17" i="10"/>
  <c r="P11" i="9"/>
  <c r="AI12" i="10"/>
  <c r="AI16" i="10" s="1"/>
  <c r="AF12" i="10"/>
  <c r="AA16" i="10"/>
  <c r="Z12" i="10"/>
  <c r="W12" i="10"/>
  <c r="AL10" i="10"/>
  <c r="AI10" i="10"/>
  <c r="AF10" i="10"/>
  <c r="AC10" i="10"/>
  <c r="Z10" i="10"/>
  <c r="W10" i="10"/>
  <c r="AL9" i="10"/>
  <c r="AI9" i="10"/>
  <c r="AF9" i="10"/>
  <c r="AC9" i="10"/>
  <c r="Z9" i="10"/>
  <c r="W9" i="10"/>
  <c r="AL7" i="10"/>
  <c r="AI7" i="10"/>
  <c r="AF7" i="10"/>
  <c r="AC7" i="10"/>
  <c r="Z7" i="10"/>
  <c r="W7" i="10"/>
  <c r="AI6" i="10"/>
  <c r="W6" i="10"/>
  <c r="T155" i="9"/>
  <c r="T151" i="9"/>
  <c r="V150" i="9"/>
  <c r="T148" i="9"/>
  <c r="T147" i="9"/>
  <c r="T154" i="9"/>
  <c r="T153" i="9"/>
  <c r="B29" i="8"/>
  <c r="B16" i="8"/>
  <c r="B19" i="8"/>
  <c r="B15" i="8"/>
  <c r="B87" i="8"/>
  <c r="B30" i="8"/>
  <c r="B28" i="8"/>
  <c r="B31" i="8"/>
  <c r="B17" i="8"/>
  <c r="B18" i="8"/>
  <c r="K38" i="10" l="1"/>
  <c r="K50" i="10" s="1"/>
  <c r="AM38" i="10"/>
  <c r="AO38" i="10" s="1"/>
  <c r="AP38" i="10" s="1"/>
  <c r="I50" i="10"/>
  <c r="K76" i="10"/>
  <c r="I87" i="10"/>
  <c r="G28" i="10"/>
  <c r="W16" i="10"/>
  <c r="H16" i="10"/>
  <c r="F87" i="10"/>
  <c r="AM76" i="10"/>
  <c r="AO76" i="10" s="1"/>
  <c r="AP76" i="10" s="1"/>
  <c r="F50" i="10"/>
  <c r="E98" i="10"/>
  <c r="AC12" i="10"/>
  <c r="AC16" i="10" s="1"/>
  <c r="AM12" i="10"/>
  <c r="AC89" i="10"/>
  <c r="AA98" i="10"/>
  <c r="AA99" i="10" s="1"/>
  <c r="AF89" i="10"/>
  <c r="AD98" i="10"/>
  <c r="AD99" i="10" s="1"/>
  <c r="O131" i="9"/>
  <c r="O119" i="9"/>
  <c r="O102" i="9"/>
  <c r="P102" i="9" s="1"/>
  <c r="F54" i="14"/>
  <c r="H54" i="14" s="1"/>
  <c r="O103" i="9"/>
  <c r="AF32" i="10"/>
  <c r="L80" i="9"/>
  <c r="AC32" i="10"/>
  <c r="K80" i="9"/>
  <c r="AI32" i="10"/>
  <c r="AI36" i="10" s="1"/>
  <c r="M80" i="9"/>
  <c r="Z32" i="10"/>
  <c r="J80" i="9"/>
  <c r="AJ36" i="10"/>
  <c r="AJ24" i="10"/>
  <c r="AL6" i="10"/>
  <c r="AL16" i="10" s="1"/>
  <c r="AG24" i="10"/>
  <c r="E31" i="10"/>
  <c r="E36" i="10" s="1"/>
  <c r="AF6" i="10"/>
  <c r="AF16" i="10" s="1"/>
  <c r="AF24" i="10"/>
  <c r="Z29" i="10"/>
  <c r="Z26" i="10"/>
  <c r="AF26" i="10"/>
  <c r="AD24" i="10"/>
  <c r="AA24" i="10"/>
  <c r="AC29" i="10"/>
  <c r="AC6" i="10"/>
  <c r="Z17" i="10"/>
  <c r="Z24" i="10" s="1"/>
  <c r="X24" i="10"/>
  <c r="Z6" i="10"/>
  <c r="Z16" i="10" s="1"/>
  <c r="U24" i="10"/>
  <c r="W17" i="10"/>
  <c r="W24" i="10" s="1"/>
  <c r="W29" i="10"/>
  <c r="W36" i="10" s="1"/>
  <c r="U36" i="10"/>
  <c r="F56" i="14"/>
  <c r="H68" i="14"/>
  <c r="F40" i="14"/>
  <c r="N7" i="10"/>
  <c r="L7" i="14"/>
  <c r="N7" i="14" s="1"/>
  <c r="T9" i="10"/>
  <c r="R8" i="14"/>
  <c r="T8" i="14" s="1"/>
  <c r="N17" i="10"/>
  <c r="L13" i="14"/>
  <c r="N31" i="10"/>
  <c r="L27" i="14"/>
  <c r="N27" i="14" s="1"/>
  <c r="N34" i="10"/>
  <c r="L30" i="14"/>
  <c r="N30" i="14" s="1"/>
  <c r="F41" i="14"/>
  <c r="K57" i="10"/>
  <c r="I43" i="14"/>
  <c r="K43" i="14" s="1"/>
  <c r="R45" i="14"/>
  <c r="T45" i="14" s="1"/>
  <c r="N64" i="10"/>
  <c r="L54" i="14"/>
  <c r="N54" i="14" s="1"/>
  <c r="T65" i="10"/>
  <c r="R55" i="14"/>
  <c r="T55" i="14" s="1"/>
  <c r="F66" i="14"/>
  <c r="K68" i="10"/>
  <c r="I58" i="14"/>
  <c r="K58" i="14" s="1"/>
  <c r="Q71" i="10"/>
  <c r="O61" i="14"/>
  <c r="Q61" i="14" s="1"/>
  <c r="H70" i="14"/>
  <c r="H83" i="14"/>
  <c r="I79" i="14"/>
  <c r="K79" i="14" s="1"/>
  <c r="O80" i="14"/>
  <c r="Q80" i="14" s="1"/>
  <c r="K94" i="10"/>
  <c r="I69" i="14"/>
  <c r="Q95" i="10"/>
  <c r="O70" i="14"/>
  <c r="Q70" i="14" s="1"/>
  <c r="I75" i="14"/>
  <c r="K75" i="14" s="1"/>
  <c r="R76" i="14"/>
  <c r="T76" i="14" s="1"/>
  <c r="F19" i="14"/>
  <c r="O13" i="14"/>
  <c r="N23" i="10"/>
  <c r="L19" i="14"/>
  <c r="N19" i="14" s="1"/>
  <c r="F27" i="14"/>
  <c r="O31" i="10"/>
  <c r="Q31" i="10" s="1"/>
  <c r="O27" i="14"/>
  <c r="Q27" i="14" s="1"/>
  <c r="Q34" i="10"/>
  <c r="O30" i="14"/>
  <c r="Q30" i="14" s="1"/>
  <c r="F42" i="14"/>
  <c r="N57" i="10"/>
  <c r="L43" i="14"/>
  <c r="N43" i="14" s="1"/>
  <c r="F49" i="14"/>
  <c r="K63" i="10"/>
  <c r="I53" i="14"/>
  <c r="K53" i="14" s="1"/>
  <c r="Q64" i="10"/>
  <c r="O54" i="14"/>
  <c r="Q54" i="14" s="1"/>
  <c r="F67" i="14"/>
  <c r="N68" i="10"/>
  <c r="L58" i="14"/>
  <c r="N58" i="14" s="1"/>
  <c r="T71" i="10"/>
  <c r="R61" i="14"/>
  <c r="T61" i="14" s="1"/>
  <c r="F71" i="14"/>
  <c r="F85" i="14"/>
  <c r="L79" i="14"/>
  <c r="N79" i="14" s="1"/>
  <c r="R80" i="14"/>
  <c r="T80" i="14" s="1"/>
  <c r="N94" i="10"/>
  <c r="L69" i="14"/>
  <c r="N69" i="14" s="1"/>
  <c r="T95" i="10"/>
  <c r="R70" i="14"/>
  <c r="T70" i="14" s="1"/>
  <c r="L75" i="14"/>
  <c r="N75" i="14" s="1"/>
  <c r="T7" i="10"/>
  <c r="R7" i="14"/>
  <c r="T7" i="14" s="1"/>
  <c r="T17" i="10"/>
  <c r="R13" i="14"/>
  <c r="T13" i="14" s="1"/>
  <c r="Q23" i="10"/>
  <c r="O19" i="14"/>
  <c r="Q19" i="14" s="1"/>
  <c r="F18" i="14"/>
  <c r="F31" i="14"/>
  <c r="K30" i="10"/>
  <c r="I26" i="14"/>
  <c r="K26" i="14" s="1"/>
  <c r="T31" i="10"/>
  <c r="R27" i="14"/>
  <c r="T27" i="14" s="1"/>
  <c r="T34" i="10"/>
  <c r="R30" i="14"/>
  <c r="T30" i="14" s="1"/>
  <c r="K33" i="10"/>
  <c r="I29" i="14"/>
  <c r="K29" i="14" s="1"/>
  <c r="I38" i="14"/>
  <c r="K38" i="14" s="1"/>
  <c r="F43" i="14"/>
  <c r="K56" i="10"/>
  <c r="I42" i="14"/>
  <c r="K42" i="14" s="1"/>
  <c r="Q57" i="10"/>
  <c r="O43" i="14"/>
  <c r="Q43" i="14" s="1"/>
  <c r="F50" i="14"/>
  <c r="N63" i="10"/>
  <c r="L53" i="14"/>
  <c r="N53" i="14" s="1"/>
  <c r="T64" i="10"/>
  <c r="R54" i="14"/>
  <c r="T54" i="14" s="1"/>
  <c r="K67" i="10"/>
  <c r="I57" i="14"/>
  <c r="K57" i="14" s="1"/>
  <c r="Q68" i="10"/>
  <c r="O58" i="14"/>
  <c r="Q58" i="14" s="1"/>
  <c r="K92" i="10"/>
  <c r="I67" i="14"/>
  <c r="K67" i="14" s="1"/>
  <c r="F72" i="14"/>
  <c r="H86" i="14"/>
  <c r="O79" i="14"/>
  <c r="Q79" i="14" s="1"/>
  <c r="I86" i="14"/>
  <c r="K86" i="14" s="1"/>
  <c r="Q94" i="10"/>
  <c r="O69" i="14"/>
  <c r="Q69" i="14" s="1"/>
  <c r="I74" i="14"/>
  <c r="K74" i="14" s="1"/>
  <c r="O75" i="14"/>
  <c r="Q75" i="14" s="1"/>
  <c r="F39" i="14"/>
  <c r="F46" i="14"/>
  <c r="Q6" i="10"/>
  <c r="O6" i="14"/>
  <c r="K22" i="10"/>
  <c r="I18" i="14"/>
  <c r="K18" i="14" s="1"/>
  <c r="K20" i="10"/>
  <c r="I16" i="14"/>
  <c r="K16" i="14" s="1"/>
  <c r="F32" i="14"/>
  <c r="L30" i="10"/>
  <c r="N30" i="10" s="1"/>
  <c r="L26" i="14"/>
  <c r="N26" i="14" s="1"/>
  <c r="I33" i="14"/>
  <c r="K33" i="14" s="1"/>
  <c r="F29" i="14"/>
  <c r="L38" i="14"/>
  <c r="N38" i="14" s="1"/>
  <c r="F44" i="14"/>
  <c r="N56" i="10"/>
  <c r="L42" i="14"/>
  <c r="N42" i="14" s="1"/>
  <c r="T57" i="10"/>
  <c r="R43" i="14"/>
  <c r="T43" i="14" s="1"/>
  <c r="K58" i="10"/>
  <c r="I48" i="14"/>
  <c r="K48" i="14" s="1"/>
  <c r="F52" i="14"/>
  <c r="K62" i="10"/>
  <c r="I52" i="14"/>
  <c r="K52" i="14" s="1"/>
  <c r="Q63" i="10"/>
  <c r="O53" i="14"/>
  <c r="Q53" i="14" s="1"/>
  <c r="N67" i="10"/>
  <c r="L57" i="14"/>
  <c r="N57" i="14" s="1"/>
  <c r="T68" i="10"/>
  <c r="R58" i="14"/>
  <c r="T58" i="14" s="1"/>
  <c r="N92" i="10"/>
  <c r="L67" i="14"/>
  <c r="N67" i="14" s="1"/>
  <c r="F73" i="14"/>
  <c r="I78" i="14"/>
  <c r="K78" i="14" s="1"/>
  <c r="R79" i="14"/>
  <c r="T79" i="14" s="1"/>
  <c r="L86" i="14"/>
  <c r="N86" i="14" s="1"/>
  <c r="T94" i="10"/>
  <c r="R69" i="14"/>
  <c r="T69" i="14" s="1"/>
  <c r="L74" i="14"/>
  <c r="N74" i="14" s="1"/>
  <c r="R75" i="14"/>
  <c r="T75" i="14" s="1"/>
  <c r="I39" i="14"/>
  <c r="K39" i="14" s="1"/>
  <c r="N6" i="10"/>
  <c r="L6" i="14"/>
  <c r="T6" i="10"/>
  <c r="R6" i="14"/>
  <c r="N22" i="10"/>
  <c r="L18" i="14"/>
  <c r="N18" i="14" s="1"/>
  <c r="K23" i="10"/>
  <c r="I19" i="14"/>
  <c r="K19" i="14" s="1"/>
  <c r="F33" i="14"/>
  <c r="O30" i="10"/>
  <c r="Q30" i="10" s="1"/>
  <c r="O26" i="14"/>
  <c r="Q26" i="14" s="1"/>
  <c r="N33" i="10"/>
  <c r="L29" i="14"/>
  <c r="N29" i="14" s="1"/>
  <c r="L33" i="14"/>
  <c r="N33" i="14" s="1"/>
  <c r="K53" i="10"/>
  <c r="I37" i="14"/>
  <c r="K37" i="14" s="1"/>
  <c r="O38" i="14"/>
  <c r="Q38" i="14" s="1"/>
  <c r="K55" i="10"/>
  <c r="I41" i="14"/>
  <c r="K41" i="14" s="1"/>
  <c r="Q56" i="10"/>
  <c r="O42" i="14"/>
  <c r="Q42" i="14" s="1"/>
  <c r="N58" i="10"/>
  <c r="L48" i="14"/>
  <c r="N48" i="14" s="1"/>
  <c r="F53" i="14"/>
  <c r="N62" i="10"/>
  <c r="L52" i="14"/>
  <c r="N52" i="14" s="1"/>
  <c r="T63" i="10"/>
  <c r="R53" i="14"/>
  <c r="T53" i="14" s="1"/>
  <c r="Q67" i="10"/>
  <c r="O57" i="14"/>
  <c r="Q57" i="14" s="1"/>
  <c r="K91" i="10"/>
  <c r="I66" i="14"/>
  <c r="K66" i="14" s="1"/>
  <c r="Q92" i="10"/>
  <c r="O67" i="14"/>
  <c r="Q67" i="14" s="1"/>
  <c r="H74" i="14"/>
  <c r="L78" i="14"/>
  <c r="N78" i="14" s="1"/>
  <c r="I85" i="14"/>
  <c r="K85" i="14" s="1"/>
  <c r="O86" i="14"/>
  <c r="Q86" i="14" s="1"/>
  <c r="I73" i="14"/>
  <c r="K73" i="14" s="1"/>
  <c r="O74" i="14"/>
  <c r="Q74" i="14" s="1"/>
  <c r="L39" i="14"/>
  <c r="N39" i="14" s="1"/>
  <c r="I11" i="14"/>
  <c r="K21" i="10"/>
  <c r="I17" i="14"/>
  <c r="K17" i="14" s="1"/>
  <c r="Q22" i="10"/>
  <c r="O18" i="14"/>
  <c r="Q18" i="14" s="1"/>
  <c r="K26" i="10"/>
  <c r="I22" i="14"/>
  <c r="K22" i="14" s="1"/>
  <c r="I25" i="14"/>
  <c r="T30" i="10"/>
  <c r="R26" i="14"/>
  <c r="T26" i="14" s="1"/>
  <c r="Q33" i="10"/>
  <c r="O29" i="14"/>
  <c r="Q29" i="14" s="1"/>
  <c r="I32" i="14"/>
  <c r="K32" i="14" s="1"/>
  <c r="O33" i="14"/>
  <c r="Q33" i="14" s="1"/>
  <c r="F28" i="14"/>
  <c r="F37" i="14"/>
  <c r="N53" i="10"/>
  <c r="L37" i="14"/>
  <c r="N37" i="14" s="1"/>
  <c r="R38" i="14"/>
  <c r="T38" i="14" s="1"/>
  <c r="N55" i="10"/>
  <c r="L41" i="14"/>
  <c r="N41" i="14" s="1"/>
  <c r="T56" i="10"/>
  <c r="R42" i="14"/>
  <c r="T42" i="14" s="1"/>
  <c r="I47" i="14"/>
  <c r="K47" i="14" s="1"/>
  <c r="Q58" i="10"/>
  <c r="O48" i="14"/>
  <c r="Q48" i="14" s="1"/>
  <c r="K60" i="10"/>
  <c r="I50" i="14"/>
  <c r="K50" i="14" s="1"/>
  <c r="Q62" i="10"/>
  <c r="O52" i="14"/>
  <c r="Q52" i="14" s="1"/>
  <c r="T67" i="10"/>
  <c r="R57" i="14"/>
  <c r="T57" i="14" s="1"/>
  <c r="L91" i="10"/>
  <c r="L66" i="14"/>
  <c r="N66" i="14" s="1"/>
  <c r="T92" i="10"/>
  <c r="R67" i="14"/>
  <c r="T67" i="14" s="1"/>
  <c r="F75" i="14"/>
  <c r="O78" i="14"/>
  <c r="Q78" i="14" s="1"/>
  <c r="L85" i="14"/>
  <c r="N85" i="14" s="1"/>
  <c r="R86" i="14"/>
  <c r="T86" i="14" s="1"/>
  <c r="L73" i="14"/>
  <c r="N73" i="14" s="1"/>
  <c r="R74" i="14"/>
  <c r="T74" i="14" s="1"/>
  <c r="O39" i="14"/>
  <c r="Q39" i="14" s="1"/>
  <c r="N12" i="10"/>
  <c r="L11" i="14"/>
  <c r="N11" i="14" s="1"/>
  <c r="T19" i="10"/>
  <c r="R15" i="14"/>
  <c r="T15" i="14" s="1"/>
  <c r="N21" i="10"/>
  <c r="L17" i="14"/>
  <c r="N17" i="14" s="1"/>
  <c r="T22" i="10"/>
  <c r="R18" i="14"/>
  <c r="T18" i="14" s="1"/>
  <c r="N26" i="10"/>
  <c r="L22" i="14"/>
  <c r="N22" i="14" s="1"/>
  <c r="N29" i="10"/>
  <c r="L25" i="14"/>
  <c r="T33" i="10"/>
  <c r="R29" i="14"/>
  <c r="T29" i="14" s="1"/>
  <c r="L32" i="14"/>
  <c r="N32" i="14" s="1"/>
  <c r="K32" i="10"/>
  <c r="I28" i="14"/>
  <c r="K28" i="14" s="1"/>
  <c r="F38" i="14"/>
  <c r="Q53" i="10"/>
  <c r="O37" i="14"/>
  <c r="Q37" i="14" s="1"/>
  <c r="Q55" i="10"/>
  <c r="O41" i="14"/>
  <c r="Q41" i="14" s="1"/>
  <c r="F45" i="14"/>
  <c r="L47" i="14"/>
  <c r="N47" i="14" s="1"/>
  <c r="T58" i="10"/>
  <c r="R48" i="14"/>
  <c r="T48" i="14" s="1"/>
  <c r="F55" i="14"/>
  <c r="N60" i="10"/>
  <c r="L50" i="14"/>
  <c r="N50" i="14" s="1"/>
  <c r="T62" i="10"/>
  <c r="R52" i="14"/>
  <c r="T52" i="14" s="1"/>
  <c r="K90" i="10"/>
  <c r="I65" i="14"/>
  <c r="K65" i="14" s="1"/>
  <c r="Q91" i="10"/>
  <c r="O66" i="14"/>
  <c r="Q66" i="14" s="1"/>
  <c r="F76" i="14"/>
  <c r="R78" i="14"/>
  <c r="T78" i="14" s="1"/>
  <c r="I83" i="14"/>
  <c r="K83" i="14" s="1"/>
  <c r="O85" i="14"/>
  <c r="Q85" i="14" s="1"/>
  <c r="K97" i="10"/>
  <c r="I72" i="14"/>
  <c r="K72" i="14" s="1"/>
  <c r="O73" i="14"/>
  <c r="Q73" i="14" s="1"/>
  <c r="R39" i="14"/>
  <c r="T39" i="14" s="1"/>
  <c r="N20" i="10"/>
  <c r="L16" i="14"/>
  <c r="N16" i="14" s="1"/>
  <c r="Q7" i="10"/>
  <c r="O7" i="14"/>
  <c r="Q7" i="14" s="1"/>
  <c r="Q12" i="10"/>
  <c r="O11" i="14"/>
  <c r="Q11" i="14" s="1"/>
  <c r="Q21" i="10"/>
  <c r="O17" i="14"/>
  <c r="Q17" i="14" s="1"/>
  <c r="F22" i="14"/>
  <c r="Q26" i="10"/>
  <c r="O22" i="14"/>
  <c r="Q22" i="14" s="1"/>
  <c r="O25" i="14"/>
  <c r="K35" i="10"/>
  <c r="I31" i="14"/>
  <c r="K31" i="14" s="1"/>
  <c r="O32" i="14"/>
  <c r="Q32" i="14" s="1"/>
  <c r="N32" i="10"/>
  <c r="L28" i="14"/>
  <c r="N28" i="14" s="1"/>
  <c r="T53" i="10"/>
  <c r="R37" i="14"/>
  <c r="T37" i="14" s="1"/>
  <c r="T55" i="10"/>
  <c r="R41" i="14"/>
  <c r="T41" i="14" s="1"/>
  <c r="F47" i="14"/>
  <c r="I46" i="14"/>
  <c r="K46" i="14" s="1"/>
  <c r="O47" i="14"/>
  <c r="Q47" i="14" s="1"/>
  <c r="K59" i="10"/>
  <c r="I49" i="14"/>
  <c r="K49" i="14" s="1"/>
  <c r="Q60" i="10"/>
  <c r="O50" i="14"/>
  <c r="Q50" i="14" s="1"/>
  <c r="F57" i="14"/>
  <c r="N90" i="10"/>
  <c r="L65" i="14"/>
  <c r="N65" i="14" s="1"/>
  <c r="T91" i="10"/>
  <c r="R66" i="14"/>
  <c r="T66" i="14" s="1"/>
  <c r="F77" i="14"/>
  <c r="L83" i="14"/>
  <c r="N83" i="14" s="1"/>
  <c r="R85" i="14"/>
  <c r="T85" i="14" s="1"/>
  <c r="N97" i="10"/>
  <c r="L72" i="14"/>
  <c r="N72" i="14" s="1"/>
  <c r="R73" i="14"/>
  <c r="T73" i="14" s="1"/>
  <c r="I77" i="14"/>
  <c r="K77" i="14" s="1"/>
  <c r="Q19" i="10"/>
  <c r="O15" i="14"/>
  <c r="Q15" i="14" s="1"/>
  <c r="I9" i="14"/>
  <c r="N10" i="10"/>
  <c r="L9" i="14"/>
  <c r="N9" i="14" s="1"/>
  <c r="T12" i="10"/>
  <c r="R11" i="14"/>
  <c r="T11" i="14" s="1"/>
  <c r="F13" i="14"/>
  <c r="K18" i="10"/>
  <c r="I14" i="14"/>
  <c r="K14" i="14" s="1"/>
  <c r="T21" i="10"/>
  <c r="R17" i="14"/>
  <c r="T17" i="14" s="1"/>
  <c r="T26" i="10"/>
  <c r="R22" i="14"/>
  <c r="T22" i="14" s="1"/>
  <c r="T29" i="10"/>
  <c r="R25" i="14"/>
  <c r="L35" i="10"/>
  <c r="N35" i="10" s="1"/>
  <c r="L31" i="14"/>
  <c r="N31" i="14" s="1"/>
  <c r="F48" i="14"/>
  <c r="R47" i="14"/>
  <c r="T47" i="14" s="1"/>
  <c r="N59" i="10"/>
  <c r="L49" i="14"/>
  <c r="N49" i="14" s="1"/>
  <c r="T60" i="10"/>
  <c r="R50" i="14"/>
  <c r="T50" i="14" s="1"/>
  <c r="F58" i="14"/>
  <c r="K89" i="10"/>
  <c r="I64" i="14"/>
  <c r="K64" i="14" s="1"/>
  <c r="O90" i="10"/>
  <c r="O65" i="14"/>
  <c r="Q65" i="14" s="1"/>
  <c r="F78" i="14"/>
  <c r="I81" i="14"/>
  <c r="O83" i="14"/>
  <c r="Q83" i="14" s="1"/>
  <c r="K96" i="10"/>
  <c r="I71" i="14"/>
  <c r="K71" i="14" s="1"/>
  <c r="Q97" i="10"/>
  <c r="O72" i="14"/>
  <c r="Q72" i="14" s="1"/>
  <c r="L77" i="14"/>
  <c r="N77" i="14" s="1"/>
  <c r="T23" i="10"/>
  <c r="R19" i="14"/>
  <c r="T19" i="14" s="1"/>
  <c r="I8" i="14"/>
  <c r="Q10" i="10"/>
  <c r="O9" i="14"/>
  <c r="Q9" i="14" s="1"/>
  <c r="F17" i="14"/>
  <c r="N18" i="10"/>
  <c r="L14" i="14"/>
  <c r="N14" i="14" s="1"/>
  <c r="K19" i="10"/>
  <c r="I15" i="14"/>
  <c r="K15" i="14" s="1"/>
  <c r="F25" i="14"/>
  <c r="Q32" i="10"/>
  <c r="O28" i="14"/>
  <c r="Q28" i="14" s="1"/>
  <c r="O35" i="10"/>
  <c r="Q35" i="10" s="1"/>
  <c r="O31" i="14"/>
  <c r="Q31" i="14" s="1"/>
  <c r="K34" i="10"/>
  <c r="I30" i="14"/>
  <c r="K30" i="14" s="1"/>
  <c r="I44" i="14"/>
  <c r="K44" i="14" s="1"/>
  <c r="I45" i="14"/>
  <c r="K45" i="14" s="1"/>
  <c r="O46" i="14"/>
  <c r="Q46" i="14" s="1"/>
  <c r="Q59" i="10"/>
  <c r="O49" i="14"/>
  <c r="Q49" i="14" s="1"/>
  <c r="K65" i="10"/>
  <c r="I55" i="14"/>
  <c r="K55" i="14" s="1"/>
  <c r="F61" i="14"/>
  <c r="N89" i="10"/>
  <c r="L64" i="14"/>
  <c r="N64" i="14" s="1"/>
  <c r="T90" i="10"/>
  <c r="R65" i="14"/>
  <c r="T65" i="14" s="1"/>
  <c r="F79" i="14"/>
  <c r="L81" i="14"/>
  <c r="N81" i="14" s="1"/>
  <c r="R83" i="14"/>
  <c r="T83" i="14" s="1"/>
  <c r="N96" i="10"/>
  <c r="L71" i="14"/>
  <c r="N71" i="14" s="1"/>
  <c r="T97" i="10"/>
  <c r="R72" i="14"/>
  <c r="T72" i="14" s="1"/>
  <c r="I76" i="14"/>
  <c r="K76" i="14" s="1"/>
  <c r="O77" i="14"/>
  <c r="Q77" i="14" s="1"/>
  <c r="I6" i="14"/>
  <c r="L8" i="14"/>
  <c r="N8" i="14" s="1"/>
  <c r="T10" i="10"/>
  <c r="R9" i="14"/>
  <c r="T9" i="14" s="1"/>
  <c r="F14" i="14"/>
  <c r="Q18" i="10"/>
  <c r="O14" i="14"/>
  <c r="Q14" i="14" s="1"/>
  <c r="Q20" i="10"/>
  <c r="O16" i="14"/>
  <c r="Q16" i="14" s="1"/>
  <c r="N19" i="10"/>
  <c r="L15" i="14"/>
  <c r="N15" i="14" s="1"/>
  <c r="F26" i="14"/>
  <c r="R28" i="14"/>
  <c r="T28" i="14" s="1"/>
  <c r="R35" i="10"/>
  <c r="T35" i="10" s="1"/>
  <c r="R31" i="14"/>
  <c r="T31" i="14" s="1"/>
  <c r="L44" i="14"/>
  <c r="N44" i="14" s="1"/>
  <c r="L45" i="14"/>
  <c r="N45" i="14" s="1"/>
  <c r="R46" i="14"/>
  <c r="T46" i="14" s="1"/>
  <c r="T59" i="10"/>
  <c r="R49" i="14"/>
  <c r="T49" i="14" s="1"/>
  <c r="N65" i="10"/>
  <c r="L55" i="14"/>
  <c r="N55" i="14" s="1"/>
  <c r="F64" i="14"/>
  <c r="K71" i="10"/>
  <c r="I61" i="14"/>
  <c r="K61" i="14" s="1"/>
  <c r="O89" i="10"/>
  <c r="O64" i="14"/>
  <c r="Q64" i="14" s="1"/>
  <c r="F80" i="14"/>
  <c r="I80" i="14"/>
  <c r="K80" i="14" s="1"/>
  <c r="O81" i="14"/>
  <c r="Q81" i="14" s="1"/>
  <c r="K95" i="10"/>
  <c r="I70" i="14"/>
  <c r="K70" i="14" s="1"/>
  <c r="O96" i="10"/>
  <c r="O71" i="14"/>
  <c r="Q71" i="14" s="1"/>
  <c r="L76" i="14"/>
  <c r="N76" i="14" s="1"/>
  <c r="R77" i="14"/>
  <c r="T77" i="14" s="1"/>
  <c r="F15" i="14"/>
  <c r="I7" i="14"/>
  <c r="Q9" i="10"/>
  <c r="O8" i="14"/>
  <c r="Q8" i="14" s="1"/>
  <c r="I13" i="14"/>
  <c r="T18" i="10"/>
  <c r="R14" i="14"/>
  <c r="T14" i="14" s="1"/>
  <c r="T20" i="10"/>
  <c r="R16" i="14"/>
  <c r="T16" i="14" s="1"/>
  <c r="K31" i="10"/>
  <c r="I27" i="14"/>
  <c r="K27" i="14" s="1"/>
  <c r="F30" i="14"/>
  <c r="R44" i="14"/>
  <c r="T44" i="14" s="1"/>
  <c r="O45" i="14"/>
  <c r="Q45" i="14" s="1"/>
  <c r="K64" i="10"/>
  <c r="I54" i="14"/>
  <c r="K54" i="14" s="1"/>
  <c r="Q65" i="10"/>
  <c r="O55" i="14"/>
  <c r="Q55" i="14" s="1"/>
  <c r="F65" i="14"/>
  <c r="N71" i="10"/>
  <c r="L61" i="14"/>
  <c r="N61" i="14" s="1"/>
  <c r="T89" i="10"/>
  <c r="R64" i="14"/>
  <c r="T64" i="14" s="1"/>
  <c r="F69" i="14"/>
  <c r="H69" i="14" s="1"/>
  <c r="F81" i="14"/>
  <c r="H81" i="14" s="1"/>
  <c r="L80" i="14"/>
  <c r="N80" i="14" s="1"/>
  <c r="R81" i="14"/>
  <c r="T81" i="14" s="1"/>
  <c r="N95" i="10"/>
  <c r="L70" i="14"/>
  <c r="N70" i="14" s="1"/>
  <c r="R96" i="10"/>
  <c r="R71" i="14"/>
  <c r="T71" i="14" s="1"/>
  <c r="O76" i="14"/>
  <c r="Q76" i="14" s="1"/>
  <c r="F16" i="14"/>
  <c r="D28" i="10"/>
  <c r="D100" i="10" s="1"/>
  <c r="E24" i="10"/>
  <c r="B36" i="10"/>
  <c r="B24" i="10"/>
  <c r="P118" i="9"/>
  <c r="O139" i="9"/>
  <c r="P139" i="9" s="1"/>
  <c r="P103" i="9"/>
  <c r="P142" i="9"/>
  <c r="D14" i="9"/>
  <c r="P132" i="9"/>
  <c r="O92" i="9"/>
  <c r="P104" i="9"/>
  <c r="O141" i="9"/>
  <c r="P141" i="9" s="1"/>
  <c r="O49" i="9"/>
  <c r="O94" i="9"/>
  <c r="P94" i="9" s="1"/>
  <c r="I56" i="14"/>
  <c r="K56" i="14" s="1"/>
  <c r="P120" i="9"/>
  <c r="P7" i="9"/>
  <c r="O50" i="9"/>
  <c r="P50" i="9" s="1"/>
  <c r="O95" i="9"/>
  <c r="P95" i="9" s="1"/>
  <c r="P131" i="9"/>
  <c r="O6" i="9"/>
  <c r="O84" i="9"/>
  <c r="I40" i="14"/>
  <c r="K40" i="14" s="1"/>
  <c r="O106" i="9"/>
  <c r="P106" i="9" s="1"/>
  <c r="O112" i="9"/>
  <c r="O135" i="9"/>
  <c r="P135" i="9" s="1"/>
  <c r="P51" i="9"/>
  <c r="O107" i="9"/>
  <c r="P107" i="9" s="1"/>
  <c r="O133" i="9"/>
  <c r="P133" i="9" s="1"/>
  <c r="P33" i="9"/>
  <c r="O88" i="9"/>
  <c r="P88" i="9" s="1"/>
  <c r="O110" i="9"/>
  <c r="P110" i="9" s="1"/>
  <c r="P89" i="9"/>
  <c r="O96" i="9"/>
  <c r="P96" i="9" s="1"/>
  <c r="O111" i="9"/>
  <c r="P111" i="9" s="1"/>
  <c r="O134" i="9"/>
  <c r="P134" i="9" s="1"/>
  <c r="O15" i="9"/>
  <c r="P15" i="9" s="1"/>
  <c r="O46" i="9"/>
  <c r="P46" i="9" s="1"/>
  <c r="P98" i="9"/>
  <c r="P100" i="9"/>
  <c r="O113" i="9"/>
  <c r="P113" i="9" s="1"/>
  <c r="O136" i="9"/>
  <c r="P8" i="9"/>
  <c r="O16" i="9"/>
  <c r="O85" i="9"/>
  <c r="P85" i="9" s="1"/>
  <c r="O137" i="9"/>
  <c r="C36" i="10"/>
  <c r="O86" i="9"/>
  <c r="P86" i="9" s="1"/>
  <c r="O114" i="9"/>
  <c r="P114" i="9" s="1"/>
  <c r="O79" i="9"/>
  <c r="P10" i="9"/>
  <c r="P35" i="9"/>
  <c r="P13" i="9"/>
  <c r="O44" i="14"/>
  <c r="Q44" i="14" s="1"/>
  <c r="O90" i="9"/>
  <c r="P90" i="9" s="1"/>
  <c r="P72" i="9"/>
  <c r="P36" i="9"/>
  <c r="P27" i="9"/>
  <c r="P17" i="9"/>
  <c r="C14" i="9"/>
  <c r="T156" i="9"/>
  <c r="I99" i="10" l="1"/>
  <c r="P92" i="9"/>
  <c r="Q92" i="9"/>
  <c r="P112" i="9"/>
  <c r="Q112" i="9"/>
  <c r="P119" i="9"/>
  <c r="Q119" i="9"/>
  <c r="P84" i="9"/>
  <c r="Q84" i="9"/>
  <c r="P136" i="9"/>
  <c r="Q136" i="9"/>
  <c r="P137" i="9"/>
  <c r="Q137" i="9"/>
  <c r="AO12" i="10"/>
  <c r="AM16" i="10"/>
  <c r="P6" i="9"/>
  <c r="Q6" i="9"/>
  <c r="D101" i="10"/>
  <c r="T16" i="10"/>
  <c r="Q16" i="10"/>
  <c r="F99" i="10"/>
  <c r="F100" i="10" s="1"/>
  <c r="Q96" i="10"/>
  <c r="AM96" i="10"/>
  <c r="AO96" i="10" s="1"/>
  <c r="AP96" i="10" s="1"/>
  <c r="N91" i="10"/>
  <c r="AM91" i="10"/>
  <c r="AO91" i="10" s="1"/>
  <c r="AP91" i="10" s="1"/>
  <c r="L98" i="10"/>
  <c r="L99" i="10" s="1"/>
  <c r="AM71" i="10"/>
  <c r="AO71" i="10" s="1"/>
  <c r="AP71" i="10" s="1"/>
  <c r="AM89" i="10"/>
  <c r="AQ89" i="10" s="1"/>
  <c r="T96" i="10"/>
  <c r="R98" i="10"/>
  <c r="R99" i="10" s="1"/>
  <c r="Q90" i="10"/>
  <c r="AM90" i="10"/>
  <c r="AO90" i="10" s="1"/>
  <c r="AP90" i="10" s="1"/>
  <c r="Q89" i="10"/>
  <c r="O98" i="10"/>
  <c r="O99" i="10" s="1"/>
  <c r="AC36" i="10"/>
  <c r="AA36" i="10"/>
  <c r="Z36" i="10"/>
  <c r="P54" i="9"/>
  <c r="O80" i="9"/>
  <c r="Q80" i="9" s="1"/>
  <c r="AG36" i="10"/>
  <c r="P16" i="9"/>
  <c r="O44" i="9"/>
  <c r="P44" i="9" s="1"/>
  <c r="AM34" i="10"/>
  <c r="AQ20" i="10"/>
  <c r="AM17" i="10"/>
  <c r="AQ17" i="10" s="1"/>
  <c r="AQ97" i="10"/>
  <c r="AQ53" i="10"/>
  <c r="AM18" i="10"/>
  <c r="AQ59" i="10"/>
  <c r="AM31" i="10"/>
  <c r="AQ55" i="10"/>
  <c r="AQ95" i="10"/>
  <c r="AQ9" i="10"/>
  <c r="AQ67" i="10"/>
  <c r="AQ94" i="10"/>
  <c r="AM30" i="10"/>
  <c r="AQ10" i="10"/>
  <c r="AM26" i="10"/>
  <c r="AQ62" i="10"/>
  <c r="AQ60" i="10"/>
  <c r="AM32" i="10"/>
  <c r="AM33" i="10"/>
  <c r="AQ12" i="10"/>
  <c r="AM22" i="10"/>
  <c r="AQ56" i="10"/>
  <c r="AQ65" i="10"/>
  <c r="AQ57" i="10"/>
  <c r="AQ64" i="10"/>
  <c r="AM21" i="10"/>
  <c r="AQ68" i="10"/>
  <c r="AQ63" i="10"/>
  <c r="AQ7" i="10"/>
  <c r="AM29" i="10"/>
  <c r="AM35" i="10"/>
  <c r="AQ58" i="10"/>
  <c r="AQ92" i="10"/>
  <c r="AM23" i="10"/>
  <c r="X36" i="10"/>
  <c r="H66" i="10"/>
  <c r="H65" i="10"/>
  <c r="AD36" i="10"/>
  <c r="AF29" i="10"/>
  <c r="AF36" i="10" s="1"/>
  <c r="AC19" i="10"/>
  <c r="AC24" i="10" s="1"/>
  <c r="H31" i="10"/>
  <c r="H96" i="10"/>
  <c r="H59" i="10"/>
  <c r="H55" i="10"/>
  <c r="H54" i="10"/>
  <c r="H33" i="10"/>
  <c r="H22" i="10"/>
  <c r="H56" i="10"/>
  <c r="H21" i="10"/>
  <c r="H68" i="10"/>
  <c r="H92" i="10"/>
  <c r="H23" i="10"/>
  <c r="H90" i="10"/>
  <c r="H34" i="10"/>
  <c r="H89" i="10"/>
  <c r="H17" i="10"/>
  <c r="H53" i="10"/>
  <c r="H97" i="10"/>
  <c r="H60" i="10"/>
  <c r="H67" i="10"/>
  <c r="H32" i="10"/>
  <c r="H91" i="10"/>
  <c r="H20" i="10"/>
  <c r="H19" i="10"/>
  <c r="H18" i="10"/>
  <c r="H94" i="10"/>
  <c r="H71" i="10"/>
  <c r="H26" i="10"/>
  <c r="H62" i="10"/>
  <c r="O36" i="10"/>
  <c r="H40" i="14"/>
  <c r="K93" i="10"/>
  <c r="K98" i="10" s="1"/>
  <c r="I68" i="14"/>
  <c r="H56" i="14"/>
  <c r="L24" i="10"/>
  <c r="H57" i="10"/>
  <c r="L36" i="10"/>
  <c r="T24" i="10"/>
  <c r="K6" i="10"/>
  <c r="H63" i="10"/>
  <c r="H30" i="10"/>
  <c r="H58" i="10"/>
  <c r="H65" i="14"/>
  <c r="AA65" i="14"/>
  <c r="AC65" i="14" s="1"/>
  <c r="AA30" i="14"/>
  <c r="AC30" i="14" s="1"/>
  <c r="AD30" i="14" s="1"/>
  <c r="H30" i="14"/>
  <c r="H64" i="14"/>
  <c r="AA64" i="14"/>
  <c r="AC64" i="14" s="1"/>
  <c r="AD64" i="14" s="1"/>
  <c r="H79" i="14"/>
  <c r="AA79" i="14"/>
  <c r="AC79" i="14" s="1"/>
  <c r="AD79" i="14" s="1"/>
  <c r="F20" i="14"/>
  <c r="AA13" i="14"/>
  <c r="H13" i="14"/>
  <c r="H47" i="14"/>
  <c r="AA47" i="14"/>
  <c r="AC47" i="14" s="1"/>
  <c r="AD47" i="14" s="1"/>
  <c r="AA75" i="14"/>
  <c r="AC75" i="14" s="1"/>
  <c r="AD75" i="14" s="1"/>
  <c r="H75" i="14"/>
  <c r="AA74" i="14"/>
  <c r="AC74" i="14" s="1"/>
  <c r="AD74" i="14" s="1"/>
  <c r="H53" i="14"/>
  <c r="AA53" i="14"/>
  <c r="AC53" i="14" s="1"/>
  <c r="AD53" i="14" s="1"/>
  <c r="H46" i="14"/>
  <c r="H18" i="14"/>
  <c r="AA18" i="14"/>
  <c r="AC18" i="14" s="1"/>
  <c r="AD18" i="14" s="1"/>
  <c r="AA42" i="14"/>
  <c r="AC42" i="14" s="1"/>
  <c r="H42" i="14"/>
  <c r="Q13" i="14"/>
  <c r="Q20" i="14" s="1"/>
  <c r="O20" i="14"/>
  <c r="H66" i="14"/>
  <c r="AA66" i="14"/>
  <c r="AC66" i="14" s="1"/>
  <c r="AD66" i="14" s="1"/>
  <c r="N9" i="10"/>
  <c r="N16" i="10" s="1"/>
  <c r="AA54" i="14"/>
  <c r="AC54" i="14" s="1"/>
  <c r="AD54" i="14" s="1"/>
  <c r="I24" i="10"/>
  <c r="K7" i="14"/>
  <c r="AA7" i="14"/>
  <c r="AC7" i="14" s="1"/>
  <c r="AD7" i="14" s="1"/>
  <c r="AA25" i="14"/>
  <c r="H25" i="14"/>
  <c r="F34" i="14"/>
  <c r="K8" i="14"/>
  <c r="AA8" i="14"/>
  <c r="AC8" i="14" s="1"/>
  <c r="AD8" i="14" s="1"/>
  <c r="AA81" i="14"/>
  <c r="AC81" i="14" s="1"/>
  <c r="AI98" i="14" s="1"/>
  <c r="K81" i="14"/>
  <c r="T25" i="14"/>
  <c r="T34" i="14" s="1"/>
  <c r="R34" i="14"/>
  <c r="AA57" i="14"/>
  <c r="AC57" i="14" s="1"/>
  <c r="H57" i="14"/>
  <c r="Q25" i="14"/>
  <c r="Q34" i="14" s="1"/>
  <c r="O34" i="14"/>
  <c r="H55" i="14"/>
  <c r="AA55" i="14"/>
  <c r="AC55" i="14" s="1"/>
  <c r="AD55" i="14" s="1"/>
  <c r="H38" i="14"/>
  <c r="AA38" i="14"/>
  <c r="AC38" i="14" s="1"/>
  <c r="AD38" i="14" s="1"/>
  <c r="H37" i="14"/>
  <c r="AA37" i="14"/>
  <c r="AC37" i="14" s="1"/>
  <c r="K25" i="14"/>
  <c r="K34" i="14" s="1"/>
  <c r="I34" i="14"/>
  <c r="T6" i="14"/>
  <c r="T12" i="14" s="1"/>
  <c r="R12" i="14"/>
  <c r="AA39" i="14"/>
  <c r="AC39" i="14" s="1"/>
  <c r="H39" i="14"/>
  <c r="H67" i="14"/>
  <c r="AA67" i="14"/>
  <c r="AC67" i="14" s="1"/>
  <c r="AD67" i="14" s="1"/>
  <c r="H19" i="14"/>
  <c r="AA19" i="14"/>
  <c r="AC19" i="14" s="1"/>
  <c r="AD19" i="14" s="1"/>
  <c r="AA86" i="14"/>
  <c r="AC86" i="14" s="1"/>
  <c r="AD86" i="14" s="1"/>
  <c r="H16" i="14"/>
  <c r="AA16" i="14"/>
  <c r="AC16" i="14" s="1"/>
  <c r="AD16" i="14" s="1"/>
  <c r="H15" i="14"/>
  <c r="AA15" i="14"/>
  <c r="AC15" i="14" s="1"/>
  <c r="AD15" i="14" s="1"/>
  <c r="H14" i="14"/>
  <c r="AA14" i="14"/>
  <c r="AC14" i="14" s="1"/>
  <c r="AD14" i="14" s="1"/>
  <c r="H78" i="14"/>
  <c r="AA78" i="14"/>
  <c r="AC78" i="14" s="1"/>
  <c r="AD78" i="14" s="1"/>
  <c r="AA76" i="14"/>
  <c r="AC76" i="14" s="1"/>
  <c r="AD76" i="14" s="1"/>
  <c r="H76" i="14"/>
  <c r="H28" i="14"/>
  <c r="AA28" i="14"/>
  <c r="AC28" i="14" s="1"/>
  <c r="AD28" i="14" s="1"/>
  <c r="N6" i="14"/>
  <c r="N12" i="14" s="1"/>
  <c r="L12" i="14"/>
  <c r="H44" i="14"/>
  <c r="AA44" i="14"/>
  <c r="AC44" i="14" s="1"/>
  <c r="AD44" i="14" s="1"/>
  <c r="AA32" i="14"/>
  <c r="AC32" i="14" s="1"/>
  <c r="H32" i="14"/>
  <c r="AA72" i="14"/>
  <c r="AC72" i="14" s="1"/>
  <c r="AD72" i="14" s="1"/>
  <c r="H72" i="14"/>
  <c r="H50" i="14"/>
  <c r="AA50" i="14"/>
  <c r="AC50" i="14" s="1"/>
  <c r="AD50" i="14" s="1"/>
  <c r="AA83" i="14"/>
  <c r="AC83" i="14" s="1"/>
  <c r="AD83" i="14" s="1"/>
  <c r="R20" i="14"/>
  <c r="R36" i="10"/>
  <c r="AA80" i="14"/>
  <c r="AC80" i="14" s="1"/>
  <c r="H80" i="14"/>
  <c r="H26" i="14"/>
  <c r="AA26" i="14"/>
  <c r="AC26" i="14" s="1"/>
  <c r="AD26" i="14" s="1"/>
  <c r="H61" i="14"/>
  <c r="AA61" i="14"/>
  <c r="AC61" i="14" s="1"/>
  <c r="AD61" i="14" s="1"/>
  <c r="AA9" i="14"/>
  <c r="AC9" i="14" s="1"/>
  <c r="AD9" i="14" s="1"/>
  <c r="K9" i="14"/>
  <c r="H22" i="14"/>
  <c r="AA22" i="14"/>
  <c r="AC22" i="14" s="1"/>
  <c r="AD22" i="14" s="1"/>
  <c r="H85" i="14"/>
  <c r="AA85" i="14"/>
  <c r="AC85" i="14" s="1"/>
  <c r="AD85" i="14" s="1"/>
  <c r="L20" i="14"/>
  <c r="N13" i="14"/>
  <c r="N20" i="14" s="1"/>
  <c r="AA70" i="14"/>
  <c r="AC70" i="14" s="1"/>
  <c r="H29" i="10"/>
  <c r="I36" i="10"/>
  <c r="H48" i="14"/>
  <c r="AA48" i="14"/>
  <c r="AC48" i="14" s="1"/>
  <c r="AD48" i="14" s="1"/>
  <c r="H77" i="14"/>
  <c r="AA77" i="14"/>
  <c r="AC77" i="14" s="1"/>
  <c r="AD77" i="14" s="1"/>
  <c r="H45" i="14"/>
  <c r="AA45" i="14"/>
  <c r="AC45" i="14" s="1"/>
  <c r="T20" i="14"/>
  <c r="H33" i="14"/>
  <c r="AA33" i="14"/>
  <c r="AC33" i="14" s="1"/>
  <c r="AI97" i="14" s="1"/>
  <c r="H73" i="14"/>
  <c r="AA73" i="14"/>
  <c r="AC73" i="14" s="1"/>
  <c r="AD73" i="14" s="1"/>
  <c r="H52" i="14"/>
  <c r="AA52" i="14"/>
  <c r="AC52" i="14" s="1"/>
  <c r="AD52" i="14" s="1"/>
  <c r="H71" i="14"/>
  <c r="AA71" i="14"/>
  <c r="AC71" i="14" s="1"/>
  <c r="H49" i="14"/>
  <c r="AA49" i="14"/>
  <c r="AC49" i="14" s="1"/>
  <c r="H27" i="14"/>
  <c r="AA27" i="14"/>
  <c r="AC27" i="14" s="1"/>
  <c r="AD27" i="14" s="1"/>
  <c r="K13" i="14"/>
  <c r="K20" i="14" s="1"/>
  <c r="I20" i="14"/>
  <c r="K6" i="14"/>
  <c r="I12" i="14"/>
  <c r="AA6" i="14"/>
  <c r="AA17" i="14"/>
  <c r="AC17" i="14" s="1"/>
  <c r="H17" i="14"/>
  <c r="H58" i="14"/>
  <c r="AA58" i="14"/>
  <c r="AC58" i="14" s="1"/>
  <c r="AD58" i="14" s="1"/>
  <c r="N25" i="14"/>
  <c r="N34" i="14" s="1"/>
  <c r="L34" i="14"/>
  <c r="K11" i="14"/>
  <c r="AA11" i="14"/>
  <c r="AC11" i="14" s="1"/>
  <c r="AD11" i="14" s="1"/>
  <c r="H29" i="14"/>
  <c r="AA29" i="14"/>
  <c r="AC29" i="14" s="1"/>
  <c r="AD29" i="14" s="1"/>
  <c r="O12" i="14"/>
  <c r="Q6" i="14"/>
  <c r="Q12" i="14" s="1"/>
  <c r="H43" i="14"/>
  <c r="AA43" i="14"/>
  <c r="AC43" i="14" s="1"/>
  <c r="AD43" i="14" s="1"/>
  <c r="AA31" i="14"/>
  <c r="AC31" i="14" s="1"/>
  <c r="AD31" i="14" s="1"/>
  <c r="H31" i="14"/>
  <c r="AA69" i="14"/>
  <c r="AC69" i="14" s="1"/>
  <c r="K69" i="14"/>
  <c r="H41" i="14"/>
  <c r="AA41" i="14"/>
  <c r="AC41" i="14" s="1"/>
  <c r="AD41" i="14" s="1"/>
  <c r="O24" i="10"/>
  <c r="T32" i="10"/>
  <c r="T36" i="10" s="1"/>
  <c r="O91" i="9"/>
  <c r="N36" i="10"/>
  <c r="N24" i="10"/>
  <c r="L68" i="14"/>
  <c r="N68" i="14" s="1"/>
  <c r="L56" i="14"/>
  <c r="N56" i="14" s="1"/>
  <c r="L40" i="14"/>
  <c r="N40" i="14" s="1"/>
  <c r="H64" i="10"/>
  <c r="H95" i="10"/>
  <c r="H93" i="10"/>
  <c r="O14" i="9"/>
  <c r="Q14" i="9" s="1"/>
  <c r="P91" i="9" l="1"/>
  <c r="Q91" i="9"/>
  <c r="AP12" i="10"/>
  <c r="AO16" i="10"/>
  <c r="AP16" i="10" s="1"/>
  <c r="K16" i="10"/>
  <c r="AT16" i="10" s="1"/>
  <c r="AQ96" i="10"/>
  <c r="AQ90" i="10"/>
  <c r="AQ6" i="10"/>
  <c r="H98" i="10"/>
  <c r="R100" i="10"/>
  <c r="R101" i="10" s="1"/>
  <c r="AQ22" i="10"/>
  <c r="AO22" i="10"/>
  <c r="AP22" i="10" s="1"/>
  <c r="AQ21" i="10"/>
  <c r="AO21" i="10"/>
  <c r="AQ30" i="10"/>
  <c r="AO30" i="10"/>
  <c r="AP30" i="10" s="1"/>
  <c r="AQ91" i="10"/>
  <c r="AO89" i="10"/>
  <c r="AP89" i="10" s="1"/>
  <c r="AM98" i="10"/>
  <c r="AQ34" i="10"/>
  <c r="AO34" i="10"/>
  <c r="AP34" i="10" s="1"/>
  <c r="AQ33" i="10"/>
  <c r="AO33" i="10"/>
  <c r="AP33" i="10" s="1"/>
  <c r="AQ32" i="10"/>
  <c r="AO32" i="10"/>
  <c r="AP32" i="10" s="1"/>
  <c r="AQ31" i="10"/>
  <c r="AO31" i="10"/>
  <c r="AP31" i="10" s="1"/>
  <c r="AR36" i="10"/>
  <c r="AQ18" i="10"/>
  <c r="AO18" i="10"/>
  <c r="AP18" i="10" s="1"/>
  <c r="AQ26" i="10"/>
  <c r="AO26" i="10"/>
  <c r="AP26" i="10" s="1"/>
  <c r="AQ71" i="10"/>
  <c r="AQ23" i="10"/>
  <c r="AO23" i="10"/>
  <c r="AP23" i="10" s="1"/>
  <c r="AQ35" i="10"/>
  <c r="AO35" i="10"/>
  <c r="AP35" i="10" s="1"/>
  <c r="AP9" i="10"/>
  <c r="AQ19" i="10"/>
  <c r="AQ29" i="10"/>
  <c r="AM36" i="10"/>
  <c r="AQ36" i="10" s="1"/>
  <c r="AP6" i="10"/>
  <c r="AP20" i="10"/>
  <c r="H24" i="10"/>
  <c r="AM24" i="10"/>
  <c r="AQ24" i="10" s="1"/>
  <c r="H36" i="10"/>
  <c r="K68" i="14"/>
  <c r="AF33" i="14"/>
  <c r="AG34" i="14"/>
  <c r="H34" i="14"/>
  <c r="AE34" i="14" s="1"/>
  <c r="AP19" i="10"/>
  <c r="H20" i="14"/>
  <c r="AA20" i="14"/>
  <c r="AC13" i="14"/>
  <c r="AC6" i="14"/>
  <c r="AA12" i="14"/>
  <c r="K12" i="14"/>
  <c r="AC25" i="14"/>
  <c r="AA34" i="14"/>
  <c r="O68" i="14"/>
  <c r="Q68" i="14" s="1"/>
  <c r="G87" i="9"/>
  <c r="O40" i="14" s="1"/>
  <c r="O56" i="14"/>
  <c r="Q56" i="14" s="1"/>
  <c r="K54" i="10"/>
  <c r="K66" i="10"/>
  <c r="AQ16" i="10" l="1"/>
  <c r="Q40" i="14"/>
  <c r="AC12" i="14"/>
  <c r="AD6" i="14"/>
  <c r="AC34" i="14"/>
  <c r="AD34" i="14" s="1"/>
  <c r="AD25" i="14"/>
  <c r="AC20" i="14"/>
  <c r="AD20" i="14" s="1"/>
  <c r="AD13" i="14"/>
  <c r="N93" i="10"/>
  <c r="N98" i="10" s="1"/>
  <c r="N66" i="10"/>
  <c r="R68" i="14"/>
  <c r="Q66" i="10"/>
  <c r="N54" i="10"/>
  <c r="Q93" i="10" l="1"/>
  <c r="Q98" i="10" s="1"/>
  <c r="T54" i="10"/>
  <c r="R40" i="14"/>
  <c r="T68" i="14"/>
  <c r="AA68" i="14"/>
  <c r="AC68" i="14" s="1"/>
  <c r="AD68" i="14" s="1"/>
  <c r="T66" i="10"/>
  <c r="R56" i="14"/>
  <c r="AD12" i="14"/>
  <c r="Q54" i="10"/>
  <c r="T157" i="9"/>
  <c r="W93" i="10" l="1"/>
  <c r="W98" i="10" s="1"/>
  <c r="W54" i="10"/>
  <c r="T56" i="14"/>
  <c r="AA56" i="14"/>
  <c r="AC56" i="14" s="1"/>
  <c r="T40" i="14"/>
  <c r="AA40" i="14"/>
  <c r="T93" i="10"/>
  <c r="T98" i="10" s="1"/>
  <c r="AC66" i="10" l="1"/>
  <c r="Z66" i="10"/>
  <c r="Z54" i="10"/>
  <c r="AC93" i="10"/>
  <c r="AC98" i="10" s="1"/>
  <c r="Z93" i="10"/>
  <c r="Z98" i="10" s="1"/>
  <c r="W66" i="10"/>
  <c r="AC40" i="14"/>
  <c r="AC54" i="10" l="1"/>
  <c r="AF54" i="10"/>
  <c r="AI93" i="10" l="1"/>
  <c r="AI98" i="10" s="1"/>
  <c r="AI54" i="10" l="1"/>
  <c r="O105" i="9"/>
  <c r="AI66" i="10"/>
  <c r="AF66" i="10"/>
  <c r="AF93" i="10"/>
  <c r="AF98" i="10" s="1"/>
  <c r="AL93" i="10"/>
  <c r="AL98" i="10" s="1"/>
  <c r="O115" i="9" l="1"/>
  <c r="P115" i="9" s="1"/>
  <c r="AQ93" i="10"/>
  <c r="AL54" i="10"/>
  <c r="P105" i="9"/>
  <c r="AL66" i="10"/>
  <c r="O87" i="9"/>
  <c r="P87" i="9" s="1"/>
  <c r="AQ54" i="10" l="1"/>
  <c r="U50" i="8"/>
  <c r="AO98" i="10" l="1"/>
  <c r="AP98" i="10" s="1"/>
  <c r="AQ66" i="10"/>
  <c r="D99" i="8"/>
  <c r="Q19" i="8"/>
  <c r="T50" i="8"/>
  <c r="Q41" i="8"/>
  <c r="F20" i="8"/>
  <c r="G20" i="8"/>
  <c r="H20" i="8"/>
  <c r="H24" i="8" s="1"/>
  <c r="I20" i="8"/>
  <c r="J20" i="8"/>
  <c r="K20" i="8"/>
  <c r="L20" i="8"/>
  <c r="M20" i="8"/>
  <c r="N20" i="8"/>
  <c r="O20" i="8"/>
  <c r="F23" i="8"/>
  <c r="F24" i="8" s="1"/>
  <c r="G23" i="8"/>
  <c r="G24" i="8" s="1"/>
  <c r="H23" i="8"/>
  <c r="I23" i="8"/>
  <c r="J23" i="8"/>
  <c r="K23" i="8"/>
  <c r="L23" i="8"/>
  <c r="M23" i="8"/>
  <c r="N23" i="8"/>
  <c r="O23" i="8"/>
  <c r="F34" i="8"/>
  <c r="G34" i="8"/>
  <c r="H34" i="8"/>
  <c r="I34" i="8"/>
  <c r="J34" i="8"/>
  <c r="K34" i="8"/>
  <c r="L34" i="8"/>
  <c r="M34" i="8"/>
  <c r="N34" i="8"/>
  <c r="O34" i="8"/>
  <c r="F87" i="8"/>
  <c r="G87" i="8"/>
  <c r="H87" i="8"/>
  <c r="I87" i="8"/>
  <c r="J87" i="8"/>
  <c r="K87" i="8"/>
  <c r="L87" i="8"/>
  <c r="M87" i="8"/>
  <c r="N87" i="8"/>
  <c r="O87" i="8"/>
  <c r="Q86" i="8"/>
  <c r="Q85" i="8"/>
  <c r="Q84" i="8"/>
  <c r="P84" i="8"/>
  <c r="Q83" i="8"/>
  <c r="Q82" i="8"/>
  <c r="P82" i="8"/>
  <c r="Q81" i="8"/>
  <c r="P81" i="8"/>
  <c r="Q80" i="8"/>
  <c r="P80" i="8"/>
  <c r="Q79" i="8"/>
  <c r="Q77" i="8"/>
  <c r="Q75" i="8"/>
  <c r="Q74" i="8"/>
  <c r="Q73" i="8"/>
  <c r="Q71" i="8"/>
  <c r="P71" i="8"/>
  <c r="Q70" i="8"/>
  <c r="P70" i="8"/>
  <c r="Q69" i="8"/>
  <c r="P69" i="8"/>
  <c r="Q66" i="8"/>
  <c r="Q65" i="8"/>
  <c r="P65" i="8"/>
  <c r="Q63" i="8"/>
  <c r="P63" i="8"/>
  <c r="Q62" i="8"/>
  <c r="P62" i="8"/>
  <c r="Q61" i="8"/>
  <c r="Q60" i="8"/>
  <c r="P60" i="8"/>
  <c r="Q59" i="8"/>
  <c r="P59" i="8"/>
  <c r="Q58" i="8"/>
  <c r="Q57" i="8"/>
  <c r="P57" i="8"/>
  <c r="Q56" i="8"/>
  <c r="P56" i="8"/>
  <c r="Q55" i="8"/>
  <c r="Q54" i="8"/>
  <c r="Q53" i="8"/>
  <c r="Q52" i="8"/>
  <c r="Q51" i="8"/>
  <c r="P51" i="8"/>
  <c r="Q50" i="8"/>
  <c r="Q49" i="8"/>
  <c r="P49" i="8"/>
  <c r="Q47" i="8"/>
  <c r="Q46" i="8"/>
  <c r="Q45" i="8"/>
  <c r="P45" i="8"/>
  <c r="Q44" i="8"/>
  <c r="Q42" i="8"/>
  <c r="P42" i="8"/>
  <c r="Q40" i="8"/>
  <c r="P40" i="8"/>
  <c r="Q39" i="8"/>
  <c r="P39" i="8"/>
  <c r="Q37" i="8"/>
  <c r="P37" i="8"/>
  <c r="Q36" i="8"/>
  <c r="Q33" i="8"/>
  <c r="P33" i="8"/>
  <c r="Q32" i="8"/>
  <c r="P32" i="8"/>
  <c r="Q31" i="8"/>
  <c r="Q26" i="8"/>
  <c r="Q18" i="8"/>
  <c r="Q17" i="8"/>
  <c r="P17" i="8"/>
  <c r="Q14" i="8"/>
  <c r="Q7" i="8"/>
  <c r="Q8" i="8"/>
  <c r="Q10" i="8"/>
  <c r="Q11" i="8"/>
  <c r="Q6" i="8"/>
  <c r="P7" i="8"/>
  <c r="P8" i="8"/>
  <c r="P6" i="8"/>
  <c r="F12" i="8"/>
  <c r="G12" i="8"/>
  <c r="H12" i="8"/>
  <c r="I12" i="8"/>
  <c r="J12" i="8"/>
  <c r="K12" i="8"/>
  <c r="L12" i="8"/>
  <c r="M12" i="8"/>
  <c r="N12" i="8"/>
  <c r="O12" i="8"/>
  <c r="E84" i="8"/>
  <c r="R84" i="8" s="1"/>
  <c r="S84" i="8" s="1"/>
  <c r="E82" i="8"/>
  <c r="R82" i="8" s="1"/>
  <c r="S82" i="8" s="1"/>
  <c r="E81" i="8"/>
  <c r="R81" i="8" s="1"/>
  <c r="E80" i="8"/>
  <c r="R80" i="8" s="1"/>
  <c r="E71" i="8"/>
  <c r="R71" i="8" s="1"/>
  <c r="E70" i="8"/>
  <c r="R70" i="8" s="1"/>
  <c r="E69" i="8"/>
  <c r="R69" i="8" s="1"/>
  <c r="E65" i="8"/>
  <c r="R65" i="8" s="1"/>
  <c r="E63" i="8"/>
  <c r="R63" i="8" s="1"/>
  <c r="S63" i="8" s="1"/>
  <c r="E62" i="8"/>
  <c r="R62" i="8" s="1"/>
  <c r="S62" i="8" s="1"/>
  <c r="E60" i="8"/>
  <c r="R60" i="8" s="1"/>
  <c r="S60" i="8" s="1"/>
  <c r="E59" i="8"/>
  <c r="R59" i="8" s="1"/>
  <c r="S59" i="8" s="1"/>
  <c r="E57" i="8"/>
  <c r="R57" i="8" s="1"/>
  <c r="E56" i="8"/>
  <c r="R56" i="8" s="1"/>
  <c r="E51" i="8"/>
  <c r="R51" i="8" s="1"/>
  <c r="E49" i="8"/>
  <c r="R49" i="8" s="1"/>
  <c r="E45" i="8"/>
  <c r="R45" i="8" s="1"/>
  <c r="E42" i="8"/>
  <c r="R42" i="8" s="1"/>
  <c r="E40" i="8"/>
  <c r="R40" i="8" s="1"/>
  <c r="E39" i="8"/>
  <c r="R39" i="8" s="1"/>
  <c r="E37" i="8"/>
  <c r="R37" i="8" s="1"/>
  <c r="Q35" i="8"/>
  <c r="Q28" i="8"/>
  <c r="E33" i="8"/>
  <c r="R33" i="8" s="1"/>
  <c r="E32" i="8"/>
  <c r="R32" i="8" s="1"/>
  <c r="E17" i="8"/>
  <c r="R17" i="8" s="1"/>
  <c r="Q67" i="8"/>
  <c r="Q78" i="8"/>
  <c r="Q43" i="8"/>
  <c r="Q48" i="8"/>
  <c r="Q72" i="8"/>
  <c r="Q76" i="8"/>
  <c r="Q64" i="8"/>
  <c r="Q38" i="8"/>
  <c r="Q68" i="8"/>
  <c r="Q27" i="8"/>
  <c r="Q29" i="8"/>
  <c r="Q30" i="8"/>
  <c r="Q22" i="8"/>
  <c r="Q16" i="8"/>
  <c r="Q15" i="8"/>
  <c r="Q25" i="8"/>
  <c r="Q13" i="8"/>
  <c r="E8" i="8"/>
  <c r="R8" i="8" s="1"/>
  <c r="E7" i="8"/>
  <c r="R7" i="8" s="1"/>
  <c r="E6" i="8"/>
  <c r="R6" i="8" s="1"/>
  <c r="E10" i="8"/>
  <c r="R10" i="8" s="1"/>
  <c r="D12" i="8"/>
  <c r="K24" i="8" l="1"/>
  <c r="I24" i="8"/>
  <c r="J24" i="8"/>
  <c r="I88" i="8"/>
  <c r="I89" i="8" s="1"/>
  <c r="S51" i="8"/>
  <c r="Q20" i="8"/>
  <c r="Q87" i="8"/>
  <c r="D23" i="8"/>
  <c r="Q21" i="8"/>
  <c r="Q23" i="8" s="1"/>
  <c r="Q34" i="8"/>
  <c r="D96" i="8"/>
  <c r="D98" i="8" s="1"/>
  <c r="H88" i="8"/>
  <c r="H89" i="8" s="1"/>
  <c r="G88" i="8"/>
  <c r="G89" i="8" s="1"/>
  <c r="F88" i="8"/>
  <c r="F89" i="8" s="1"/>
  <c r="L24" i="8"/>
  <c r="L88" i="8" s="1"/>
  <c r="L89" i="8" s="1"/>
  <c r="Q9" i="8"/>
  <c r="Q12" i="8" s="1"/>
  <c r="P10" i="8"/>
  <c r="S10" i="8" s="1"/>
  <c r="J88" i="8"/>
  <c r="J89" i="8" s="1"/>
  <c r="O24" i="8"/>
  <c r="O88" i="8" s="1"/>
  <c r="O89" i="8" s="1"/>
  <c r="N24" i="8"/>
  <c r="M24" i="8"/>
  <c r="N88" i="8"/>
  <c r="N89" i="8" s="1"/>
  <c r="M88" i="8"/>
  <c r="M89" i="8" s="1"/>
  <c r="K88" i="8"/>
  <c r="K89" i="8" s="1"/>
  <c r="D87" i="8"/>
  <c r="D34" i="8"/>
  <c r="D20" i="8"/>
  <c r="Q24" i="8" l="1"/>
  <c r="Q88" i="8"/>
  <c r="Q89" i="8" s="1"/>
  <c r="D24" i="8"/>
  <c r="D88" i="8" s="1"/>
  <c r="D89" i="8" l="1"/>
  <c r="D100" i="8"/>
  <c r="P9" i="8" l="1"/>
  <c r="E53" i="8" l="1"/>
  <c r="R53" i="8" s="1"/>
  <c r="P53" i="8"/>
  <c r="E48" i="8"/>
  <c r="R48" i="8" s="1"/>
  <c r="P48" i="8"/>
  <c r="E72" i="8"/>
  <c r="R72" i="8" s="1"/>
  <c r="P72" i="8"/>
  <c r="E74" i="8"/>
  <c r="R74" i="8" s="1"/>
  <c r="P74" i="8"/>
  <c r="E15" i="8"/>
  <c r="R15" i="8" s="1"/>
  <c r="P15" i="8"/>
  <c r="E35" i="8"/>
  <c r="R35" i="8" s="1"/>
  <c r="P35" i="8"/>
  <c r="E64" i="8"/>
  <c r="R64" i="8" s="1"/>
  <c r="P64" i="8"/>
  <c r="E46" i="8"/>
  <c r="R46" i="8" s="1"/>
  <c r="P46" i="8"/>
  <c r="E58" i="8"/>
  <c r="R58" i="8" s="1"/>
  <c r="P58" i="8"/>
  <c r="E13" i="8"/>
  <c r="R13" i="8" s="1"/>
  <c r="P13" i="8"/>
  <c r="E55" i="8"/>
  <c r="R55" i="8" s="1"/>
  <c r="P55" i="8"/>
  <c r="E47" i="8"/>
  <c r="R47" i="8" s="1"/>
  <c r="P47" i="8"/>
  <c r="E44" i="8"/>
  <c r="R44" i="8" s="1"/>
  <c r="S44" i="8" s="1"/>
  <c r="P44" i="8"/>
  <c r="P12" i="8"/>
  <c r="E38" i="8"/>
  <c r="R38" i="8" s="1"/>
  <c r="P38" i="8"/>
  <c r="E83" i="8"/>
  <c r="R83" i="8" s="1"/>
  <c r="P83" i="8"/>
  <c r="E77" i="8"/>
  <c r="R77" i="8" s="1"/>
  <c r="P77" i="8"/>
  <c r="E36" i="8"/>
  <c r="R36" i="8" s="1"/>
  <c r="P36" i="8"/>
  <c r="E11" i="8"/>
  <c r="R11" i="8" s="1"/>
  <c r="S11" i="8" s="1"/>
  <c r="P11" i="8"/>
  <c r="E41" i="8"/>
  <c r="R41" i="8" s="1"/>
  <c r="P41" i="8"/>
  <c r="E61" i="8"/>
  <c r="R61" i="8" s="1"/>
  <c r="P61" i="8"/>
  <c r="E18" i="8"/>
  <c r="R18" i="8" s="1"/>
  <c r="P18" i="8"/>
  <c r="E14" i="8"/>
  <c r="R14" i="8" s="1"/>
  <c r="P14" i="8"/>
  <c r="E67" i="8"/>
  <c r="R67" i="8" s="1"/>
  <c r="P67" i="8"/>
  <c r="E73" i="8"/>
  <c r="R73" i="8" s="1"/>
  <c r="S73" i="8" s="1"/>
  <c r="P73" i="8"/>
  <c r="E43" i="8"/>
  <c r="R43" i="8" s="1"/>
  <c r="P43" i="8"/>
  <c r="E21" i="8"/>
  <c r="R21" i="8" s="1"/>
  <c r="P21" i="8"/>
  <c r="P23" i="8" s="1"/>
  <c r="E52" i="8"/>
  <c r="R52" i="8" s="1"/>
  <c r="P52" i="8"/>
  <c r="E76" i="8"/>
  <c r="R76" i="8" s="1"/>
  <c r="P76" i="8"/>
  <c r="E19" i="8"/>
  <c r="R19" i="8" s="1"/>
  <c r="P19" i="8"/>
  <c r="E22" i="8"/>
  <c r="R22" i="8" s="1"/>
  <c r="S22" i="8" s="1"/>
  <c r="P22" i="8"/>
  <c r="E50" i="8"/>
  <c r="R50" i="8" s="1"/>
  <c r="P50" i="8"/>
  <c r="E68" i="8"/>
  <c r="R68" i="8" s="1"/>
  <c r="P68" i="8"/>
  <c r="E28" i="8"/>
  <c r="R28" i="8" s="1"/>
  <c r="P28" i="8"/>
  <c r="E16" i="8"/>
  <c r="R16" i="8" s="1"/>
  <c r="P16" i="8"/>
  <c r="E66" i="8"/>
  <c r="R66" i="8" s="1"/>
  <c r="S66" i="8" s="1"/>
  <c r="P66" i="8"/>
  <c r="E26" i="8"/>
  <c r="R26" i="8" s="1"/>
  <c r="S26" i="8" s="1"/>
  <c r="P26" i="8"/>
  <c r="E78" i="8"/>
  <c r="R78" i="8" s="1"/>
  <c r="P78" i="8"/>
  <c r="E30" i="8"/>
  <c r="R30" i="8" s="1"/>
  <c r="P30" i="8"/>
  <c r="E54" i="8"/>
  <c r="R54" i="8" s="1"/>
  <c r="P54" i="8"/>
  <c r="E27" i="8"/>
  <c r="R27" i="8" s="1"/>
  <c r="P27" i="8"/>
  <c r="E75" i="8"/>
  <c r="R75" i="8" s="1"/>
  <c r="P75" i="8"/>
  <c r="E31" i="8"/>
  <c r="R31" i="8" s="1"/>
  <c r="S31" i="8" s="1"/>
  <c r="P31" i="8"/>
  <c r="E79" i="8"/>
  <c r="R79" i="8" s="1"/>
  <c r="P79" i="8"/>
  <c r="E85" i="8"/>
  <c r="R85" i="8" s="1"/>
  <c r="P85" i="8"/>
  <c r="E29" i="8"/>
  <c r="R29" i="8" s="1"/>
  <c r="P29" i="8"/>
  <c r="E86" i="8"/>
  <c r="R86" i="8" s="1"/>
  <c r="P86" i="8"/>
  <c r="E25" i="8"/>
  <c r="R25" i="8" s="1"/>
  <c r="P25" i="8"/>
  <c r="P34" i="8" s="1"/>
  <c r="E9" i="8"/>
  <c r="S86" i="8" l="1"/>
  <c r="S13" i="8"/>
  <c r="S25" i="8"/>
  <c r="S58" i="8"/>
  <c r="S36" i="8"/>
  <c r="S67" i="8"/>
  <c r="S64" i="8"/>
  <c r="S47" i="8"/>
  <c r="S35" i="8"/>
  <c r="S55" i="8"/>
  <c r="S15" i="8"/>
  <c r="S14" i="8"/>
  <c r="S77" i="8"/>
  <c r="S19" i="8"/>
  <c r="S74" i="8"/>
  <c r="S52" i="8"/>
  <c r="S18" i="8"/>
  <c r="S83" i="8"/>
  <c r="S72" i="8"/>
  <c r="S16" i="8"/>
  <c r="S29" i="8"/>
  <c r="S21" i="8"/>
  <c r="S61" i="8"/>
  <c r="S38" i="8"/>
  <c r="S85" i="8"/>
  <c r="S46" i="8"/>
  <c r="S48" i="8"/>
  <c r="S27" i="8"/>
  <c r="S54" i="8"/>
  <c r="S30" i="8"/>
  <c r="S78" i="8"/>
  <c r="S50" i="8"/>
  <c r="S43" i="8"/>
  <c r="S41" i="8"/>
  <c r="S75" i="8"/>
  <c r="S76" i="8"/>
  <c r="S28" i="8"/>
  <c r="S68" i="8"/>
  <c r="S79" i="8"/>
  <c r="S53" i="8"/>
  <c r="E87" i="8"/>
  <c r="R34" i="8"/>
  <c r="S34" i="8" s="1"/>
  <c r="P87" i="8"/>
  <c r="R87" i="8"/>
  <c r="P20" i="8"/>
  <c r="P24" i="8" s="1"/>
  <c r="R20" i="8"/>
  <c r="E34" i="8"/>
  <c r="R23" i="8"/>
  <c r="E23" i="8"/>
  <c r="E12" i="8"/>
  <c r="R9" i="8"/>
  <c r="S9" i="8" s="1"/>
  <c r="E20" i="8"/>
  <c r="S87" i="8" l="1"/>
  <c r="S20" i="8"/>
  <c r="R12" i="8"/>
  <c r="S12" i="8" s="1"/>
  <c r="R24" i="8"/>
  <c r="S24" i="8" s="1"/>
  <c r="S23" i="8"/>
  <c r="E24" i="8"/>
  <c r="E88" i="8" s="1"/>
  <c r="E89" i="8" s="1"/>
  <c r="R88" i="8"/>
  <c r="P88" i="8"/>
  <c r="P89" i="8" s="1"/>
  <c r="R89" i="8" l="1"/>
  <c r="S89" i="8" s="1"/>
  <c r="S88" i="8"/>
  <c r="Z94" i="8" l="1"/>
  <c r="X97" i="8" l="1"/>
  <c r="C23" i="8"/>
  <c r="X92" i="8"/>
  <c r="X95" i="8"/>
  <c r="C34" i="8"/>
  <c r="C87" i="8"/>
  <c r="C12" i="8"/>
  <c r="X91" i="8"/>
  <c r="C20" i="8" l="1"/>
  <c r="X98" i="8"/>
  <c r="B12" i="8"/>
  <c r="B23" i="8"/>
  <c r="B34" i="8"/>
  <c r="X99" i="8" l="1"/>
  <c r="X100" i="8" s="1"/>
  <c r="C24" i="8"/>
  <c r="B20" i="8"/>
  <c r="B24" i="8" s="1"/>
  <c r="B88" i="8" s="1"/>
  <c r="B89" i="8" s="1"/>
  <c r="C88" i="8" l="1"/>
  <c r="C89" i="8" l="1"/>
  <c r="X101" i="8" l="1"/>
  <c r="J24" i="10" l="1"/>
  <c r="J28" i="10" s="1"/>
  <c r="K17" i="10"/>
  <c r="K24" i="10" s="1"/>
  <c r="AT24" i="10" s="1"/>
  <c r="J36" i="10"/>
  <c r="K29" i="10"/>
  <c r="K36" i="10" s="1"/>
  <c r="J100" i="10" l="1"/>
  <c r="Q29" i="10"/>
  <c r="Q36" i="10" s="1"/>
  <c r="P36" i="10"/>
  <c r="P27" i="10"/>
  <c r="J101" i="10" l="1"/>
  <c r="AN104" i="10"/>
  <c r="Q17" i="10"/>
  <c r="Q24" i="10" s="1"/>
  <c r="P24" i="10"/>
  <c r="P28" i="10" s="1"/>
  <c r="P100" i="10" s="1"/>
  <c r="P101" i="10" s="1"/>
  <c r="AI17" i="10" l="1"/>
  <c r="AI24" i="10" s="1"/>
  <c r="AH24" i="10"/>
  <c r="AH28" i="10" s="1"/>
  <c r="AH100" i="10" s="1"/>
  <c r="AH101" i="10" s="1"/>
  <c r="AR24" i="10" l="1"/>
  <c r="AK24" i="10" l="1"/>
  <c r="AL17" i="10"/>
  <c r="AL24" i="10" s="1"/>
  <c r="AN17" i="10"/>
  <c r="AO17" i="10" s="1"/>
  <c r="AK36" i="10" l="1"/>
  <c r="AL29" i="10"/>
  <c r="AL36" i="10" s="1"/>
  <c r="AN29" i="10"/>
  <c r="AO29" i="10" s="1"/>
  <c r="AK27" i="10"/>
  <c r="AK28" i="10" s="1"/>
  <c r="AK100" i="10" s="1"/>
  <c r="AK101" i="10" s="1"/>
  <c r="AN25" i="10"/>
  <c r="AN24" i="10"/>
  <c r="AN36" i="10" l="1"/>
  <c r="AN27" i="10"/>
  <c r="AN28" i="10" s="1"/>
  <c r="AP17" i="10"/>
  <c r="AO24" i="10"/>
  <c r="AP24" i="10" s="1"/>
  <c r="AO36" i="10" l="1"/>
  <c r="AP36" i="10" s="1"/>
  <c r="BA36" i="10" s="1"/>
  <c r="AP29" i="10"/>
  <c r="B14" i="9" l="1"/>
  <c r="P14" i="9" s="1"/>
  <c r="B27" i="10"/>
  <c r="B28" i="10" s="1"/>
  <c r="C83" i="9" l="1"/>
  <c r="D83" i="9" s="1"/>
  <c r="B50" i="10"/>
  <c r="C45" i="9"/>
  <c r="B47" i="9"/>
  <c r="C27" i="10" l="1"/>
  <c r="C28" i="10" s="1"/>
  <c r="E25" i="10"/>
  <c r="E27" i="10" s="1"/>
  <c r="E28" i="10" s="1"/>
  <c r="C50" i="10"/>
  <c r="E37" i="10"/>
  <c r="E50" i="10" s="1"/>
  <c r="AM37" i="10"/>
  <c r="E83" i="9"/>
  <c r="F36" i="14"/>
  <c r="D45" i="9"/>
  <c r="C47" i="9"/>
  <c r="C48" i="9" s="1"/>
  <c r="P49" i="9"/>
  <c r="B48" i="9"/>
  <c r="AO37" i="10" l="1"/>
  <c r="AM50" i="10"/>
  <c r="H36" i="14"/>
  <c r="F83" i="9"/>
  <c r="I36" i="14"/>
  <c r="K36" i="14" s="1"/>
  <c r="E45" i="9"/>
  <c r="D47" i="9"/>
  <c r="D48" i="9" s="1"/>
  <c r="F21" i="14"/>
  <c r="AO50" i="10" l="1"/>
  <c r="AP50" i="10" s="1"/>
  <c r="AP37" i="10"/>
  <c r="G83" i="9"/>
  <c r="L36" i="14"/>
  <c r="N36" i="14" s="1"/>
  <c r="H21" i="14"/>
  <c r="H23" i="14" s="1"/>
  <c r="H24" i="14" s="1"/>
  <c r="F23" i="14"/>
  <c r="F24" i="14" s="1"/>
  <c r="H25" i="10"/>
  <c r="H27" i="10" s="1"/>
  <c r="H28" i="10" s="1"/>
  <c r="F45" i="9"/>
  <c r="I21" i="14"/>
  <c r="E47" i="9"/>
  <c r="E48" i="9" s="1"/>
  <c r="F101" i="10" l="1"/>
  <c r="H83" i="9"/>
  <c r="O36" i="14"/>
  <c r="Q36" i="14" s="1"/>
  <c r="K25" i="10"/>
  <c r="K27" i="10" s="1"/>
  <c r="I27" i="10"/>
  <c r="I28" i="10" s="1"/>
  <c r="I100" i="10" s="1"/>
  <c r="K21" i="14"/>
  <c r="K23" i="14" s="1"/>
  <c r="K24" i="14" s="1"/>
  <c r="I23" i="14"/>
  <c r="I24" i="14" s="1"/>
  <c r="G45" i="9"/>
  <c r="F47" i="9"/>
  <c r="F48" i="9" s="1"/>
  <c r="L21" i="14"/>
  <c r="AE24" i="14"/>
  <c r="I101" i="10" l="1"/>
  <c r="AM104" i="10"/>
  <c r="K28" i="10"/>
  <c r="AT28" i="10" s="1"/>
  <c r="AT27" i="10"/>
  <c r="I83" i="9"/>
  <c r="R36" i="14"/>
  <c r="L27" i="10"/>
  <c r="L28" i="10" s="1"/>
  <c r="L100" i="10" s="1"/>
  <c r="L101" i="10" s="1"/>
  <c r="N25" i="10"/>
  <c r="N27" i="10" s="1"/>
  <c r="N28" i="10" s="1"/>
  <c r="H45" i="9"/>
  <c r="O21" i="14"/>
  <c r="G47" i="9"/>
  <c r="G48" i="9" s="1"/>
  <c r="L23" i="14"/>
  <c r="L24" i="14" s="1"/>
  <c r="N21" i="14"/>
  <c r="N23" i="14" s="1"/>
  <c r="N24" i="14" s="1"/>
  <c r="J83" i="9" l="1"/>
  <c r="T36" i="14"/>
  <c r="AA36" i="14"/>
  <c r="AC36" i="14" s="1"/>
  <c r="AD36" i="14" s="1"/>
  <c r="Q21" i="14"/>
  <c r="Q23" i="14" s="1"/>
  <c r="Q24" i="14" s="1"/>
  <c r="O23" i="14"/>
  <c r="O24" i="14" s="1"/>
  <c r="O27" i="10"/>
  <c r="O28" i="10" s="1"/>
  <c r="O100" i="10" s="1"/>
  <c r="O101" i="10" s="1"/>
  <c r="Q25" i="10"/>
  <c r="Q27" i="10" s="1"/>
  <c r="Q28" i="10" s="1"/>
  <c r="I45" i="9"/>
  <c r="T25" i="10"/>
  <c r="T27" i="10" s="1"/>
  <c r="T28" i="10" s="1"/>
  <c r="R21" i="14"/>
  <c r="T21" i="14" s="1"/>
  <c r="T23" i="14" s="1"/>
  <c r="T24" i="14" s="1"/>
  <c r="H47" i="9"/>
  <c r="C81" i="9" l="1"/>
  <c r="K83" i="9"/>
  <c r="D81" i="9"/>
  <c r="C143" i="9"/>
  <c r="C144" i="9" s="1"/>
  <c r="J45" i="9"/>
  <c r="W25" i="10"/>
  <c r="W27" i="10" s="1"/>
  <c r="W28" i="10" s="1"/>
  <c r="I47" i="9"/>
  <c r="I48" i="9" s="1"/>
  <c r="H48" i="9"/>
  <c r="R23" i="14"/>
  <c r="AA21" i="14"/>
  <c r="AF24" i="14"/>
  <c r="B143" i="9"/>
  <c r="AM52" i="10" l="1"/>
  <c r="C87" i="10"/>
  <c r="C99" i="10" s="1"/>
  <c r="C100" i="10" s="1"/>
  <c r="E52" i="10"/>
  <c r="E87" i="10" s="1"/>
  <c r="E99" i="10" s="1"/>
  <c r="E100" i="10" s="1"/>
  <c r="E101" i="10" s="1"/>
  <c r="B87" i="10"/>
  <c r="B99" i="10" s="1"/>
  <c r="B100" i="10" s="1"/>
  <c r="C145" i="9"/>
  <c r="L83" i="9"/>
  <c r="E81" i="9"/>
  <c r="F35" i="14"/>
  <c r="D143" i="9"/>
  <c r="AA23" i="14"/>
  <c r="AA24" i="14" s="1"/>
  <c r="AC21" i="14"/>
  <c r="R24" i="14"/>
  <c r="K45" i="9"/>
  <c r="J47" i="9"/>
  <c r="J48" i="9" s="1"/>
  <c r="P149" i="9"/>
  <c r="C101" i="10" l="1"/>
  <c r="D144" i="9"/>
  <c r="AM87" i="10"/>
  <c r="AM99" i="10" s="1"/>
  <c r="B101" i="10"/>
  <c r="H35" i="14"/>
  <c r="H87" i="14" s="1"/>
  <c r="F87" i="14"/>
  <c r="F88" i="14" s="1"/>
  <c r="F89" i="14" s="1"/>
  <c r="M83" i="9"/>
  <c r="F81" i="9"/>
  <c r="I35" i="14"/>
  <c r="E143" i="9"/>
  <c r="E144" i="9" s="1"/>
  <c r="D145" i="9"/>
  <c r="L45" i="9"/>
  <c r="K47" i="9"/>
  <c r="AC23" i="14"/>
  <c r="AD21" i="14"/>
  <c r="AE87" i="14" l="1"/>
  <c r="H88" i="14"/>
  <c r="K52" i="10"/>
  <c r="K87" i="10" s="1"/>
  <c r="K99" i="10" s="1"/>
  <c r="N83" i="9"/>
  <c r="E145" i="9"/>
  <c r="K35" i="14"/>
  <c r="K87" i="14" s="1"/>
  <c r="K88" i="14" s="1"/>
  <c r="K89" i="14" s="1"/>
  <c r="I87" i="14"/>
  <c r="I88" i="14" s="1"/>
  <c r="G81" i="9"/>
  <c r="L35" i="14"/>
  <c r="U28" i="10"/>
  <c r="U100" i="10" s="1"/>
  <c r="U101" i="10" s="1"/>
  <c r="K48" i="9"/>
  <c r="AC24" i="14"/>
  <c r="AD23" i="14"/>
  <c r="AC25" i="10"/>
  <c r="AC27" i="10" s="1"/>
  <c r="AC28" i="10" s="1"/>
  <c r="AA27" i="10"/>
  <c r="AA28" i="10" s="1"/>
  <c r="AA100" i="10" s="1"/>
  <c r="AA101" i="10" s="1"/>
  <c r="M45" i="9"/>
  <c r="L47" i="9"/>
  <c r="L48" i="9" s="1"/>
  <c r="K100" i="10" l="1"/>
  <c r="AT99" i="10"/>
  <c r="K101" i="10"/>
  <c r="AT100" i="10"/>
  <c r="AO104" i="10"/>
  <c r="N52" i="10"/>
  <c r="N87" i="10" s="1"/>
  <c r="N99" i="10" s="1"/>
  <c r="N100" i="10" s="1"/>
  <c r="N101" i="10" s="1"/>
  <c r="H81" i="9"/>
  <c r="O35" i="14"/>
  <c r="G143" i="9"/>
  <c r="G144" i="9" s="1"/>
  <c r="AE88" i="14"/>
  <c r="H89" i="14"/>
  <c r="AE89" i="14" s="1"/>
  <c r="O83" i="9"/>
  <c r="P83" i="9" s="1"/>
  <c r="N35" i="14"/>
  <c r="I89" i="14"/>
  <c r="Z25" i="10"/>
  <c r="Z27" i="10" s="1"/>
  <c r="Z28" i="10" s="1"/>
  <c r="AD27" i="10"/>
  <c r="AD28" i="10" s="1"/>
  <c r="AD100" i="10" s="1"/>
  <c r="AD101" i="10" s="1"/>
  <c r="AF25" i="10"/>
  <c r="AF27" i="10" s="1"/>
  <c r="AF28" i="10" s="1"/>
  <c r="AD24" i="14"/>
  <c r="N45" i="9"/>
  <c r="M47" i="9"/>
  <c r="M48" i="9" s="1"/>
  <c r="Q35" i="14" l="1"/>
  <c r="Q87" i="14" s="1"/>
  <c r="O87" i="14"/>
  <c r="O88" i="14" s="1"/>
  <c r="I81" i="9"/>
  <c r="R35" i="14"/>
  <c r="H143" i="9"/>
  <c r="H144" i="9" s="1"/>
  <c r="G145" i="9"/>
  <c r="Q52" i="10"/>
  <c r="Q87" i="10" s="1"/>
  <c r="Q99" i="10" s="1"/>
  <c r="Q100" i="10" s="1"/>
  <c r="Q101" i="10" s="1"/>
  <c r="AG27" i="10"/>
  <c r="AG28" i="10" s="1"/>
  <c r="AG100" i="10" s="1"/>
  <c r="AG101" i="10" s="1"/>
  <c r="AI25" i="10"/>
  <c r="AI27" i="10" s="1"/>
  <c r="N47" i="9"/>
  <c r="O45" i="9"/>
  <c r="O106" i="10" l="1"/>
  <c r="R90" i="14"/>
  <c r="H145" i="9"/>
  <c r="T35" i="14"/>
  <c r="T87" i="14" s="1"/>
  <c r="T88" i="14" s="1"/>
  <c r="T89" i="14" s="1"/>
  <c r="R87" i="14"/>
  <c r="R88" i="14" s="1"/>
  <c r="J81" i="9"/>
  <c r="I143" i="9"/>
  <c r="I144" i="9" s="1"/>
  <c r="AA35" i="14"/>
  <c r="T52" i="10"/>
  <c r="T87" i="10" s="1"/>
  <c r="T99" i="10" s="1"/>
  <c r="T100" i="10" s="1"/>
  <c r="T101" i="10" s="1"/>
  <c r="P91" i="14"/>
  <c r="O89" i="14"/>
  <c r="AF88" i="14"/>
  <c r="Q88" i="14"/>
  <c r="Q89" i="14" s="1"/>
  <c r="X28" i="10"/>
  <c r="X100" i="10" s="1"/>
  <c r="X101" i="10" s="1"/>
  <c r="N48" i="9"/>
  <c r="O47" i="9"/>
  <c r="P45" i="9"/>
  <c r="AR27" i="10"/>
  <c r="AI28" i="10"/>
  <c r="AJ27" i="10"/>
  <c r="AJ28" i="10" s="1"/>
  <c r="AJ100" i="10" s="1"/>
  <c r="AJ101" i="10" s="1"/>
  <c r="AL25" i="10"/>
  <c r="AL27" i="10" s="1"/>
  <c r="AL28" i="10" s="1"/>
  <c r="AM25" i="10"/>
  <c r="AC35" i="14" l="1"/>
  <c r="W52" i="10"/>
  <c r="W87" i="10" s="1"/>
  <c r="W99" i="10" s="1"/>
  <c r="W100" i="10" s="1"/>
  <c r="W101" i="10" s="1"/>
  <c r="I145" i="9"/>
  <c r="R89" i="14"/>
  <c r="R106" i="10"/>
  <c r="K81" i="9"/>
  <c r="J143" i="9"/>
  <c r="J144" i="9" s="1"/>
  <c r="O48" i="9"/>
  <c r="P47" i="9"/>
  <c r="AR28" i="10"/>
  <c r="AQ25" i="10"/>
  <c r="AM27" i="10"/>
  <c r="AO25" i="10"/>
  <c r="U106" i="10" l="1"/>
  <c r="J145" i="9"/>
  <c r="Z52" i="10"/>
  <c r="Z87" i="10" s="1"/>
  <c r="Z99" i="10" s="1"/>
  <c r="Z100" i="10" s="1"/>
  <c r="Z101" i="10" s="1"/>
  <c r="AD35" i="14"/>
  <c r="L81" i="9"/>
  <c r="K143" i="9"/>
  <c r="K144" i="9" s="1"/>
  <c r="AQ27" i="10"/>
  <c r="AM28" i="10"/>
  <c r="AM100" i="10" s="1"/>
  <c r="AM101" i="10" s="1"/>
  <c r="AO27" i="10"/>
  <c r="AP25" i="10"/>
  <c r="P48" i="9"/>
  <c r="AC52" i="10" l="1"/>
  <c r="AC87" i="10" s="1"/>
  <c r="AC99" i="10" s="1"/>
  <c r="AC100" i="10" s="1"/>
  <c r="AC101" i="10" s="1"/>
  <c r="X106" i="10"/>
  <c r="K145" i="9"/>
  <c r="M81" i="9"/>
  <c r="L143" i="9"/>
  <c r="L144" i="9" s="1"/>
  <c r="AQ28" i="10"/>
  <c r="AP27" i="10"/>
  <c r="AO28" i="10"/>
  <c r="AA106" i="10" l="1"/>
  <c r="L145" i="9"/>
  <c r="N81" i="9"/>
  <c r="M143" i="9"/>
  <c r="M144" i="9" s="1"/>
  <c r="AF52" i="10"/>
  <c r="AF87" i="10" s="1"/>
  <c r="AF99" i="10" s="1"/>
  <c r="AF100" i="10" s="1"/>
  <c r="AF101" i="10" s="1"/>
  <c r="AP28" i="10"/>
  <c r="AI52" i="10" l="1"/>
  <c r="AI87" i="10" s="1"/>
  <c r="AI99" i="10" s="1"/>
  <c r="AI100" i="10" s="1"/>
  <c r="AI101" i="10" s="1"/>
  <c r="AD106" i="10"/>
  <c r="N143" i="9"/>
  <c r="N144" i="9" s="1"/>
  <c r="O81" i="9"/>
  <c r="M145" i="9"/>
  <c r="AL52" i="10" l="1"/>
  <c r="AL87" i="10" s="1"/>
  <c r="AL99" i="10" s="1"/>
  <c r="AL100" i="10" s="1"/>
  <c r="AL101" i="10" s="1"/>
  <c r="N145" i="9"/>
  <c r="AQ52" i="10"/>
  <c r="AG106" i="10"/>
  <c r="P81" i="9"/>
  <c r="AR99" i="10"/>
  <c r="AR100" i="10" l="1"/>
  <c r="AR101" i="10" l="1"/>
  <c r="B144" i="9" l="1"/>
  <c r="P58" i="9"/>
  <c r="P148" i="9" l="1"/>
  <c r="B102" i="10"/>
  <c r="P150" i="9"/>
  <c r="B145" i="9"/>
  <c r="O93" i="9"/>
  <c r="O143" i="9" s="1"/>
  <c r="L46" i="14"/>
  <c r="L87" i="14" s="1"/>
  <c r="L88" i="14" s="1"/>
  <c r="F143" i="9"/>
  <c r="F144" i="9" s="1"/>
  <c r="N147" i="9" s="1"/>
  <c r="Q143" i="9" l="1"/>
  <c r="F145" i="9"/>
  <c r="AB92" i="14"/>
  <c r="R92" i="14"/>
  <c r="L89" i="14"/>
  <c r="P143" i="9"/>
  <c r="O144" i="9"/>
  <c r="Q144" i="9" s="1"/>
  <c r="P93" i="9"/>
  <c r="N46" i="14"/>
  <c r="N87" i="14" s="1"/>
  <c r="N88" i="14" s="1"/>
  <c r="N89" i="14" s="1"/>
  <c r="AB93" i="14" s="1"/>
  <c r="AA46" i="14"/>
  <c r="N148" i="9" l="1"/>
  <c r="N149" i="9" s="1"/>
  <c r="L106" i="10"/>
  <c r="P144" i="9"/>
  <c r="O145" i="9"/>
  <c r="P145" i="9" s="1"/>
  <c r="AC46" i="14"/>
  <c r="AA87" i="14"/>
  <c r="AA88" i="14" s="1"/>
  <c r="AA89" i="14" s="1"/>
  <c r="AQ99" i="10"/>
  <c r="AQ100" i="10" l="1"/>
  <c r="AC87" i="14"/>
  <c r="AD46" i="14"/>
  <c r="AD87" i="14" l="1"/>
  <c r="AC88" i="14"/>
  <c r="AQ101" i="10"/>
  <c r="AC89" i="14" l="1"/>
  <c r="AD88" i="14"/>
  <c r="AD89" i="14" l="1"/>
  <c r="AI101" i="14"/>
  <c r="G87" i="10" l="1"/>
  <c r="G99" i="10" s="1"/>
  <c r="AN52" i="10"/>
  <c r="H52" i="10"/>
  <c r="H87" i="10" l="1"/>
  <c r="H99" i="10" s="1"/>
  <c r="H100" i="10" s="1"/>
  <c r="G100" i="10"/>
  <c r="AN87" i="10"/>
  <c r="AN99" i="10" s="1"/>
  <c r="AN100" i="10" s="1"/>
  <c r="AO52" i="10"/>
  <c r="H101" i="10" l="1"/>
  <c r="G101" i="10"/>
  <c r="AO87" i="10"/>
  <c r="AP87" i="10" s="1"/>
  <c r="AP52" i="10"/>
  <c r="AN101" i="10"/>
  <c r="AS100" i="10"/>
  <c r="AO99" i="10" l="1"/>
  <c r="AO100" i="10" l="1"/>
  <c r="AO105" i="10" s="1"/>
  <c r="AP99" i="10"/>
  <c r="AO101" i="10" l="1"/>
  <c r="AP101" i="10" s="1"/>
  <c r="AP100" i="10"/>
  <c r="BA100" i="10" s="1"/>
</calcChain>
</file>

<file path=xl/sharedStrings.xml><?xml version="1.0" encoding="utf-8"?>
<sst xmlns="http://schemas.openxmlformats.org/spreadsheetml/2006/main" count="509" uniqueCount="198">
  <si>
    <t xml:space="preserve">Deficit </t>
  </si>
  <si>
    <t>Costos de Funcionamiento Operativos AA</t>
  </si>
  <si>
    <t>Total Ingresos</t>
  </si>
  <si>
    <t>Diciembre</t>
  </si>
  <si>
    <t>Noviembre</t>
  </si>
  <si>
    <t>Julio</t>
  </si>
  <si>
    <t>Junio</t>
  </si>
  <si>
    <t>Disposición final</t>
  </si>
  <si>
    <t>Distribuccion Ac</t>
  </si>
  <si>
    <t>Potabilizacion Ac</t>
  </si>
  <si>
    <t>Captacion Ac</t>
  </si>
  <si>
    <t>Comercial Ac</t>
  </si>
  <si>
    <t>Generales/Administracion  Ac</t>
  </si>
  <si>
    <t>Subtotal Acueducto</t>
  </si>
  <si>
    <t>Recoleccion y transporte Alc</t>
  </si>
  <si>
    <t>Subtotal Alcantarillado</t>
  </si>
  <si>
    <t>Barrido vias</t>
  </si>
  <si>
    <t>Recolección y Transporte</t>
  </si>
  <si>
    <t>Servicios software INTEGRIN</t>
  </si>
  <si>
    <t>Arrendamiento oficina administrativa</t>
  </si>
  <si>
    <t>Suministro, recarga y mantenimiento de extintores de agua y polvo químico para las áreas operativas, administrativas y vehículos de la empresa</t>
  </si>
  <si>
    <t>Dotación de papelería y facturación</t>
  </si>
  <si>
    <t>Dotación de cafetería</t>
  </si>
  <si>
    <t>Fletes Marítimos y Terrestres</t>
  </si>
  <si>
    <t>Servicios personales de asesoría regulatoria, estudio de costos y tarifas</t>
  </si>
  <si>
    <t>Servicios personales - Seguridad y salud en el trabajo</t>
  </si>
  <si>
    <t>Servicios personales Comunicadora social</t>
  </si>
  <si>
    <t>Seguros y pólizas</t>
  </si>
  <si>
    <t>Almacenamiento virtual (nube)</t>
  </si>
  <si>
    <t>Arrendamiento contenedor</t>
  </si>
  <si>
    <t>celebración día del trabajo</t>
  </si>
  <si>
    <t>Servicios de vigilancia privada</t>
  </si>
  <si>
    <t>Mantenimiento y pintura de sede administrativa</t>
  </si>
  <si>
    <t>Suministros de alimentación, refrigerios e hidratación</t>
  </si>
  <si>
    <t>Otros gastos logísticos</t>
  </si>
  <si>
    <t xml:space="preserve">Personal Alc </t>
  </si>
  <si>
    <t>Personal Ac</t>
  </si>
  <si>
    <t>Servicios personales de outsourcing - asesoría contable y tributaria</t>
  </si>
  <si>
    <t>Revisoria fiscal 2SMLMV</t>
  </si>
  <si>
    <t>Agente Especial</t>
  </si>
  <si>
    <t>Enero</t>
  </si>
  <si>
    <t>Febrero</t>
  </si>
  <si>
    <t>Marzo</t>
  </si>
  <si>
    <t>Abril</t>
  </si>
  <si>
    <t>Mayo</t>
  </si>
  <si>
    <t>Agosto</t>
  </si>
  <si>
    <t>Sept</t>
  </si>
  <si>
    <t>Oct</t>
  </si>
  <si>
    <t>Acumulado</t>
  </si>
  <si>
    <t>Participacion %</t>
  </si>
  <si>
    <t>Concepto</t>
  </si>
  <si>
    <t xml:space="preserve">PROVIDENCE AND KETTLINA UTILITIES COMPANY SAS.            NIT.901352888-1                                                                    </t>
  </si>
  <si>
    <t>Costos de Funcionamiento Operativos Aseo</t>
  </si>
  <si>
    <t>Total Gastos Comerciales y de Administracion</t>
  </si>
  <si>
    <t>Nomina Administracion</t>
  </si>
  <si>
    <t>Nomina comercial</t>
  </si>
  <si>
    <t>Impuesto Industria y comercio 7X1000 Ingresos</t>
  </si>
  <si>
    <t xml:space="preserve">Generales/Administracion  </t>
  </si>
  <si>
    <t xml:space="preserve">Personal </t>
  </si>
  <si>
    <t xml:space="preserve"> </t>
  </si>
  <si>
    <t>Audiltor Interno</t>
  </si>
  <si>
    <t>Señalética</t>
  </si>
  <si>
    <t>Total Costos de Funcionamiento AAA</t>
  </si>
  <si>
    <t>Año 2023</t>
  </si>
  <si>
    <t>PRESUPUESTO DE FUNCIONAMIENTO AÑO 2023</t>
  </si>
  <si>
    <t>Dotación de uniformes para el personal, elementos de proteccion y bioseguridad  (pantalon , camisa, zapatos, impermeables, pantaneras, chalecos reflectivos)</t>
  </si>
  <si>
    <t>Aseo y Limpieza</t>
  </si>
  <si>
    <t xml:space="preserve">Otros gastos administrativos </t>
  </si>
  <si>
    <t xml:space="preserve">Gastos de viaje </t>
  </si>
  <si>
    <t>Capacitacion y bienestar social</t>
  </si>
  <si>
    <t xml:space="preserve">Alquiler de mulas y vehículos de transporte </t>
  </si>
  <si>
    <t xml:space="preserve">Licenciamiento software </t>
  </si>
  <si>
    <t>Servicios publicos (energia, telefono, aseo)</t>
  </si>
  <si>
    <t>Suscripción y afiliaciones</t>
  </si>
  <si>
    <t>Asesoria en contratacion</t>
  </si>
  <si>
    <t>Asesoria y argue sui</t>
  </si>
  <si>
    <t>Implementacion gestión documental</t>
  </si>
  <si>
    <t>Revison y acuañizacionmanuales corporativos y normograma</t>
  </si>
  <si>
    <t>Gastos legales: Cámara de comercio, notariales</t>
  </si>
  <si>
    <t>Actualizacion regulatoria</t>
  </si>
  <si>
    <t>Diseñador grafico actualizacion manual de identidad corporativa</t>
  </si>
  <si>
    <t>Profesional Financiero</t>
  </si>
  <si>
    <t>Psicologo</t>
  </si>
  <si>
    <t>Gastos de representacion</t>
  </si>
  <si>
    <t>Pagina WEB-Dominio actualizacion software</t>
  </si>
  <si>
    <t>Gastos bancarios</t>
  </si>
  <si>
    <t>Gravamen a los movimientos financieros</t>
  </si>
  <si>
    <t>Industria y comercio</t>
  </si>
  <si>
    <t>Contribuciones CRA</t>
  </si>
  <si>
    <t>Compra activos Equipo de computo (hardwaare, software), mobiliario oficina</t>
  </si>
  <si>
    <t>Compra Buldozer</t>
  </si>
  <si>
    <t>Compra barrido mecanico</t>
  </si>
  <si>
    <t>Plan de medios</t>
  </si>
  <si>
    <t>Recaudos</t>
  </si>
  <si>
    <t>Cargo fijo acueducto</t>
  </si>
  <si>
    <t>Cargo variable acueducto</t>
  </si>
  <si>
    <t>Ingresos por medidor acueducto</t>
  </si>
  <si>
    <t>Tarifa cargo variable Aseo</t>
  </si>
  <si>
    <t>Mutuo 194:   Planta desalinizadora Agua Dulce - RO 400</t>
  </si>
  <si>
    <t>Ejecucion</t>
  </si>
  <si>
    <t>Variacion</t>
  </si>
  <si>
    <t xml:space="preserve">Recuperacion cartera </t>
  </si>
  <si>
    <t>Presupuesto acumulado</t>
  </si>
  <si>
    <t>Ejecucion acumulada</t>
  </si>
  <si>
    <t>variacion acumulada</t>
  </si>
  <si>
    <t>Ejecucion Enero</t>
  </si>
  <si>
    <t>Ejecutado</t>
  </si>
  <si>
    <t>Ejecucion Febrero</t>
  </si>
  <si>
    <t>Camp-de sensi-y concient PUEAA (inc-materiales)</t>
  </si>
  <si>
    <t>Ejecucion Marzo</t>
  </si>
  <si>
    <t>Gastos legales: Cámara de comercio, notariales, ocre</t>
  </si>
  <si>
    <t>Totales</t>
  </si>
  <si>
    <t>Ejecucion Abril</t>
  </si>
  <si>
    <t>Ejecucion Mayo</t>
  </si>
  <si>
    <t>Ingresos por medidor acueducto/acometidas</t>
  </si>
  <si>
    <t>Ejecucion Junio</t>
  </si>
  <si>
    <t>Ejecucion Julio</t>
  </si>
  <si>
    <t>Ejecucion agosto</t>
  </si>
  <si>
    <t>En el mes de septiembre se retiraron del presupuesto</t>
  </si>
  <si>
    <t xml:space="preserve">optimizacion sistema electrico por </t>
  </si>
  <si>
    <t>Obras civil, caseta para instalación generador hipoclorito en sitio</t>
  </si>
  <si>
    <t>Asesoria cargue al sui</t>
  </si>
  <si>
    <t>Ejecucion septiembre</t>
  </si>
  <si>
    <t>Ejecucion octubre</t>
  </si>
  <si>
    <t>Ejecucion noviembre</t>
  </si>
  <si>
    <t>Ejecucion diciembre</t>
  </si>
  <si>
    <t>Año 2024</t>
  </si>
  <si>
    <t>Ingresos por conexiones nuevas</t>
  </si>
  <si>
    <t>Suspenciones y reconexiones</t>
  </si>
  <si>
    <t>Aseo</t>
  </si>
  <si>
    <t>Contratos Mutuos - Fondo Empresarial</t>
  </si>
  <si>
    <t>Construcción de pequeños tramos de acueducto - Vecinales</t>
  </si>
  <si>
    <t>Accesorios planta</t>
  </si>
  <si>
    <t>Mantenimiento generador hipoclorito</t>
  </si>
  <si>
    <t>Mantenimiento y pintura planta</t>
  </si>
  <si>
    <t>Filtros Generador Hipoclorito de Sodio</t>
  </si>
  <si>
    <t>Insumos químicos y reactivos (sal, AHC, polímero)</t>
  </si>
  <si>
    <t>Mantenimiento generador Diesel</t>
  </si>
  <si>
    <t>Cajón para lodos, basculante</t>
  </si>
  <si>
    <t>Mantenimiento conectividad tanques</t>
  </si>
  <si>
    <t>Mantenimiento redes</t>
  </si>
  <si>
    <t>Accesorios acueducto</t>
  </si>
  <si>
    <r>
      <t>Contrato obras civiles (</t>
    </r>
    <r>
      <rPr>
        <b/>
        <sz val="9"/>
        <rFont val="Calibri Light"/>
        <family val="2"/>
        <scheme val="major"/>
      </rPr>
      <t>2024</t>
    </r>
    <r>
      <rPr>
        <sz val="9"/>
        <rFont val="Calibri Light"/>
        <family val="2"/>
        <scheme val="major"/>
      </rPr>
      <t>)</t>
    </r>
  </si>
  <si>
    <t>Contrato laboratorio (AAA)</t>
  </si>
  <si>
    <t>Equipos trabajo confinado (rescate, ventilador)</t>
  </si>
  <si>
    <t>Mantenimiento Eléctrico y Mecánico para los sistemas de AAA</t>
  </si>
  <si>
    <t>Servicio público de aseo</t>
  </si>
  <si>
    <t>Combustible</t>
  </si>
  <si>
    <t xml:space="preserve">Elementos y artículos de ferretería, tornillería y jardinería Acu (60,6%)  Alc (1,5%) Aseo (37,9%), </t>
  </si>
  <si>
    <t>Implemento, herramientas y equipos de trabajo para la operación de acu, Alc y aseo  (70%) Acue (25%) Alc (5%)</t>
  </si>
  <si>
    <t>Mantenimiento y pintura de sede, maquinaria</t>
  </si>
  <si>
    <t>Prestación de servicio de maquinaria amarilla para el desarrollo de las actividades requeridas para la disposición de los residuos sólidos de acuerdo con las especificaciones y requerimientos técnicos establecidos por P&amp;K S.A.S E.S.P., en el sitio de disposición final blue Lizard – municipio de providencia y santa catalina islas.</t>
  </si>
  <si>
    <t>Servicio de mantenimiento predictivo, preventivo y correctivo de los vehículos tipo recolector-compactador de residuos sólidos de acuerdo con las especificaciones y requerimientos técnicos establecidos por P&amp;K SAS ESP  – municipio de providencia y santa catalina islas.</t>
  </si>
  <si>
    <t>Prestación de servicios para el servicio de mantenimiento predictivo, preventivo y correctivo de los vehículos tipo moto carro de residuos sólidos de acuerdo con las especificaciones y requerimientos técnicos establecidos por P&amp;K SAS ESP  – municipio de providencia y santa catalina islas.</t>
  </si>
  <si>
    <t>Realizar la compra repuestos para mantenimientos preventivos del vehículo recolector-compactador de acuerdo con las especificaciones y requerimientos técnicos establecidos por P&amp;K SAS ESP – en el municipio de providencia</t>
  </si>
  <si>
    <t>Realizar la compra repuestos para mantenimientos preventivos del vehículo recolector-motocarro de acuerdo con las especificaciones y requerimientos técnicos establecidos por P&amp;K SAS ESP – en el municipio de providencia</t>
  </si>
  <si>
    <t>Prestación de servicios para la recolección y transporte marítimo de residuos sólidos ordinarios generados en la isla de santa catalina y disposición en puerto en la isla de providencia de acuerdo con las especificaciones y requerimientos técnicos establecidos por P&amp;K SAS ESP.</t>
  </si>
  <si>
    <t>Realizar la compra de las llantas para el camión recolector-compactador de acuerdo con las especificaciones y requerimientos técnicos establecidos por P&amp;K SAS ESP - el municipio de providencia</t>
  </si>
  <si>
    <t>Arrendamiento de espacio para ser utilizado como taller, para realizar mantenimiento de vehículos recolectores de acuerdo con las especificaciones y requerimientos técnicos establecidos por PYK SAS ESP - en el municipio de providencia y santa catalina islas (incluye área de bodegaje de materiales/equipos/herramientas).</t>
  </si>
  <si>
    <t>Compra de material térreo para la cobertura de residuos sólidos y el mantenimiento de la vía interna del sitio de disposición final, incluye el transporte y descargue en la zona designada de acuerdo con especificaciones y requerimientos técnicos establecidos por P&amp;K S.A.S E.S.P. – municipio de providencia y santa catalina islas.</t>
  </si>
  <si>
    <t>Comprar bolsas plásticas de color negro y blanco para el servicio de aseo de acuerdo con especificaciones y requerimientos técnicos establecidos por P&amp;K S.A.S E.S.P., para las actividades de barrido, limpieza de áreas públicas y limpieza de playas en el municipio de providencia y santa catalina islas.</t>
  </si>
  <si>
    <t>Compra de filtros para el camión compacto recolector – compactador según las especificaciones técnicas.</t>
  </si>
  <si>
    <t>Para la prestación del servicio de seguridad privada para la protección, el monitoreo y la seguridad de las instalaciones, infraestructura y bienes del sitio de disposición final “BLUE LIZARD” de acuerdo con las especificaciones técnicas dadas por P&amp;K S.A.S E.S.P – municipio de providencia y santa catalina islas (no incluye arma).</t>
  </si>
  <si>
    <t>Contratar el servicio de instalación, reposición y/o mantenimiento de cámaras de seguridad dentro del sitio de disposición final blue Lizard mediante cámaras de seguridad fijas de cableado.</t>
  </si>
  <si>
    <t>Mantenimiento, compra e instalación de reflectores y tendido eléctrico para mantener las condiciones de iluminación en el relleno sanitario blue Lizard, municipio de providencia y santa catalina islas (incluye instalación, de acuerdo con las especificaciones y requerimientos técnicos establecidos por P&amp;K SAS ESP.</t>
  </si>
  <si>
    <t>Prestación de servicios de fumigación para realizar el control de vectores y plagas dentro de las instalaciones del sitio de disposición final “BLUE LIZARD” de acuerdo con las especificaciones y requerimientos técnicos establecidos por P&amp;K S.A.S E.S.P., en el municipio de providencia y santa catalina islas.</t>
  </si>
  <si>
    <t>Contratar el servicio de toma de fotografías y videos del sitio de disposición final mediante vuelos fotogramétricos con DRON.</t>
  </si>
  <si>
    <t>Contratar el servicio de monitoreo geotécnico con topografía.</t>
  </si>
  <si>
    <t>Contratar el monitoreo de la vida útil remanente.</t>
  </si>
  <si>
    <t>Contribuciones CRA-SUPER</t>
  </si>
  <si>
    <t>Transporte Agua potable</t>
  </si>
  <si>
    <t>Reforestacion</t>
  </si>
  <si>
    <t>CRETIB</t>
  </si>
  <si>
    <t>Limpieza de cuencas</t>
  </si>
  <si>
    <t>Permiso de vertimiento (alcantarillado)</t>
  </si>
  <si>
    <t>Permiso de concesión de agua</t>
  </si>
  <si>
    <t>Vertimiento Acueducto, Tasa Retributiva</t>
  </si>
  <si>
    <t>Vertimientos Alcantarillado, Tasa retributivas</t>
  </si>
  <si>
    <t>Sanción Coralina ( Vertimiento Santa Catalina) y ( Relleno Sanitario)</t>
  </si>
  <si>
    <t>Análisis emisión de gases, sitio de disposición final residuos sólidos</t>
  </si>
  <si>
    <t>Otras compras y servicios</t>
  </si>
  <si>
    <t>Adquisición y /o reposición de equipos de seguridad y vigilancia (suministro, instalación, servicios)</t>
  </si>
  <si>
    <t>Dotación de cafetería, agua en botellon, hielo</t>
  </si>
  <si>
    <t>Capacitacion y bienestar social, botiquin</t>
  </si>
  <si>
    <t>Cargo fijo alcantarillado</t>
  </si>
  <si>
    <t>Cargo variable alcantarillado</t>
  </si>
  <si>
    <t>Gastos comerciales</t>
  </si>
  <si>
    <t>Contraloria, Ocre</t>
  </si>
  <si>
    <t>Gastos de Administracion</t>
  </si>
  <si>
    <t>Gastos ambientales</t>
  </si>
  <si>
    <t>Total Gastos Comerciales, administracion y ambientales</t>
  </si>
  <si>
    <t>Combustibles</t>
  </si>
  <si>
    <t>Suspenciones y reconexiones y otros</t>
  </si>
  <si>
    <t>PRESUPUESTO DE FUNCIONAMIENTO AÑO 2024</t>
  </si>
  <si>
    <t>Combustible/reclasificar</t>
  </si>
  <si>
    <t>Recuperacion de cartera</t>
  </si>
  <si>
    <t xml:space="preserve">Servicio público </t>
  </si>
  <si>
    <t>Subsidios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</si>
</sst>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2" formatCode="_-&quot;$&quot;\ * #,##0_-;\-&quot;$&quot;\ * #,##0_-;_-&quot;$&quot;\ 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-* #,##0_-;\-* #,##0_-;_-* &quot;-&quot;??_-;_-@_-"/>
    <numFmt numFmtId="165" formatCode="0.000"/>
    <numFmt numFmtId="166" formatCode="_-&quot;$&quot;\ * #,##0.00_-;\-&quot;$&quot;\ * #,##0.00_-;_-&quot;$&quot;\ * &quot;-&quot;_-;_-@_-"/>
    <numFmt numFmtId="167" formatCode="_-* #,##0.000_-;\-* #,##0.000_-;_-* &quot;-&quot;??_-;_-@_-"/>
    <numFmt numFmtId="168" formatCode="_-* #,##0.0000_-;\-* #,##0.0000_-;_-* &quot;-&quot;??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4"/>
      <color theme="1"/>
      <name val="Candara"/>
      <family val="2"/>
    </font>
    <font>
      <b/>
      <sz val="11"/>
      <color theme="1"/>
      <name val="Calibri"/>
      <family val="2"/>
    </font>
    <font>
      <b/>
      <sz val="10"/>
      <color theme="1"/>
      <name val="Calibri"/>
      <family val="2"/>
      <scheme val="minor"/>
    </font>
    <font>
      <sz val="10"/>
      <name val="Arial"/>
      <family val="2"/>
    </font>
    <font>
      <sz val="9"/>
      <name val="Calibri Light"/>
      <family val="2"/>
      <scheme val="major"/>
    </font>
    <font>
      <b/>
      <sz val="9"/>
      <name val="Calibri Light"/>
      <family val="2"/>
      <scheme val="major"/>
    </font>
    <font>
      <sz val="9"/>
      <color theme="1"/>
      <name val="Calibri Light"/>
      <family val="2"/>
      <scheme val="major"/>
    </font>
    <font>
      <sz val="10"/>
      <color theme="1"/>
      <name val="Calibri Light"/>
      <family val="2"/>
      <scheme val="major"/>
    </font>
    <font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07">
    <xf numFmtId="0" fontId="0" fillId="0" borderId="0" xfId="0"/>
    <xf numFmtId="0" fontId="4" fillId="0" borderId="0" xfId="0" applyFont="1"/>
    <xf numFmtId="164" fontId="0" fillId="0" borderId="0" xfId="0" applyNumberFormat="1"/>
    <xf numFmtId="42" fontId="0" fillId="0" borderId="0" xfId="0" applyNumberFormat="1"/>
    <xf numFmtId="164" fontId="6" fillId="0" borderId="2" xfId="1" applyNumberFormat="1" applyFont="1" applyFill="1" applyBorder="1"/>
    <xf numFmtId="0" fontId="0" fillId="0" borderId="6" xfId="0" applyBorder="1"/>
    <xf numFmtId="164" fontId="6" fillId="0" borderId="2" xfId="0" applyNumberFormat="1" applyFont="1" applyBorder="1"/>
    <xf numFmtId="164" fontId="2" fillId="2" borderId="2" xfId="0" applyNumberFormat="1" applyFont="1" applyFill="1" applyBorder="1"/>
    <xf numFmtId="164" fontId="2" fillId="2" borderId="2" xfId="1" applyNumberFormat="1" applyFont="1" applyFill="1" applyBorder="1"/>
    <xf numFmtId="164" fontId="2" fillId="2" borderId="9" xfId="0" applyNumberFormat="1" applyFont="1" applyFill="1" applyBorder="1"/>
    <xf numFmtId="164" fontId="9" fillId="0" borderId="2" xfId="1" applyNumberFormat="1" applyFont="1" applyFill="1" applyBorder="1"/>
    <xf numFmtId="0" fontId="3" fillId="2" borderId="6" xfId="0" applyFont="1" applyFill="1" applyBorder="1"/>
    <xf numFmtId="0" fontId="2" fillId="2" borderId="6" xfId="0" applyFont="1" applyFill="1" applyBorder="1"/>
    <xf numFmtId="0" fontId="3" fillId="2" borderId="8" xfId="0" applyFont="1" applyFill="1" applyBorder="1" applyAlignment="1">
      <alignment horizontal="left" vertical="center"/>
    </xf>
    <xf numFmtId="43" fontId="8" fillId="0" borderId="0" xfId="3" applyFont="1" applyBorder="1" applyAlignment="1">
      <alignment horizontal="left"/>
    </xf>
    <xf numFmtId="164" fontId="2" fillId="2" borderId="2" xfId="1" applyNumberFormat="1" applyFont="1" applyFill="1" applyBorder="1" applyAlignment="1">
      <alignment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justify" vertical="center" wrapText="1"/>
    </xf>
    <xf numFmtId="0" fontId="0" fillId="0" borderId="0" xfId="0" applyAlignment="1">
      <alignment vertical="center"/>
    </xf>
    <xf numFmtId="164" fontId="0" fillId="0" borderId="0" xfId="1" applyNumberFormat="1" applyFont="1"/>
    <xf numFmtId="0" fontId="0" fillId="0" borderId="6" xfId="0" applyBorder="1" applyAlignment="1">
      <alignment horizontal="justify" wrapText="1"/>
    </xf>
    <xf numFmtId="164" fontId="0" fillId="0" borderId="6" xfId="1" applyNumberFormat="1" applyFont="1" applyFill="1" applyBorder="1"/>
    <xf numFmtId="0" fontId="2" fillId="0" borderId="0" xfId="0" applyFont="1" applyAlignment="1">
      <alignment horizontal="center"/>
    </xf>
    <xf numFmtId="43" fontId="0" fillId="0" borderId="0" xfId="0" applyNumberFormat="1"/>
    <xf numFmtId="0" fontId="2" fillId="0" borderId="1" xfId="0" applyFont="1" applyBorder="1" applyAlignment="1">
      <alignment horizontal="center"/>
    </xf>
    <xf numFmtId="0" fontId="6" fillId="0" borderId="6" xfId="0" applyFont="1" applyBorder="1"/>
    <xf numFmtId="3" fontId="0" fillId="0" borderId="0" xfId="0" applyNumberFormat="1"/>
    <xf numFmtId="0" fontId="2" fillId="2" borderId="4" xfId="0" applyFont="1" applyFill="1" applyBorder="1" applyAlignment="1">
      <alignment horizontal="center" vertical="center" wrapText="1"/>
    </xf>
    <xf numFmtId="0" fontId="6" fillId="0" borderId="7" xfId="4" applyNumberFormat="1" applyFont="1" applyFill="1" applyBorder="1"/>
    <xf numFmtId="165" fontId="6" fillId="0" borderId="7" xfId="4" applyNumberFormat="1" applyFont="1" applyFill="1" applyBorder="1"/>
    <xf numFmtId="10" fontId="2" fillId="2" borderId="7" xfId="4" applyNumberFormat="1" applyFont="1" applyFill="1" applyBorder="1"/>
    <xf numFmtId="10" fontId="2" fillId="2" borderId="10" xfId="4" applyNumberFormat="1" applyFont="1" applyFill="1" applyBorder="1"/>
    <xf numFmtId="0" fontId="2" fillId="0" borderId="0" xfId="0" applyFont="1" applyAlignment="1">
      <alignment horizontal="justify" vertical="center" wrapText="1"/>
    </xf>
    <xf numFmtId="43" fontId="2" fillId="0" borderId="0" xfId="0" applyNumberFormat="1" applyFont="1"/>
    <xf numFmtId="164" fontId="2" fillId="0" borderId="0" xfId="0" applyNumberFormat="1" applyFont="1"/>
    <xf numFmtId="43" fontId="9" fillId="0" borderId="0" xfId="0" applyNumberFormat="1" applyFont="1"/>
    <xf numFmtId="164" fontId="0" fillId="0" borderId="0" xfId="1" applyNumberFormat="1" applyFont="1" applyFill="1"/>
    <xf numFmtId="43" fontId="6" fillId="0" borderId="0" xfId="0" applyNumberFormat="1" applyFont="1"/>
    <xf numFmtId="164" fontId="2" fillId="0" borderId="0" xfId="1" applyNumberFormat="1" applyFont="1" applyFill="1" applyBorder="1"/>
    <xf numFmtId="164" fontId="2" fillId="0" borderId="0" xfId="1" applyNumberFormat="1" applyFont="1" applyFill="1" applyBorder="1" applyAlignment="1">
      <alignment vertical="center"/>
    </xf>
    <xf numFmtId="164" fontId="5" fillId="0" borderId="0" xfId="0" applyNumberFormat="1" applyFont="1"/>
    <xf numFmtId="166" fontId="0" fillId="0" borderId="0" xfId="0" applyNumberFormat="1"/>
    <xf numFmtId="43" fontId="6" fillId="0" borderId="7" xfId="4" applyNumberFormat="1" applyFont="1" applyFill="1" applyBorder="1"/>
    <xf numFmtId="0" fontId="2" fillId="0" borderId="1" xfId="0" applyFont="1" applyBorder="1" applyAlignment="1">
      <alignment horizontal="center" vertical="center"/>
    </xf>
    <xf numFmtId="43" fontId="2" fillId="0" borderId="0" xfId="1" applyFont="1" applyFill="1" applyBorder="1"/>
    <xf numFmtId="164" fontId="6" fillId="4" borderId="2" xfId="1" applyNumberFormat="1" applyFont="1" applyFill="1" applyBorder="1"/>
    <xf numFmtId="10" fontId="0" fillId="0" borderId="0" xfId="0" applyNumberFormat="1"/>
    <xf numFmtId="10" fontId="6" fillId="0" borderId="0" xfId="0" applyNumberFormat="1" applyFont="1"/>
    <xf numFmtId="164" fontId="2" fillId="0" borderId="2" xfId="1" applyNumberFormat="1" applyFont="1" applyFill="1" applyBorder="1"/>
    <xf numFmtId="167" fontId="2" fillId="0" borderId="0" xfId="0" applyNumberFormat="1" applyFont="1"/>
    <xf numFmtId="167" fontId="0" fillId="0" borderId="0" xfId="0" applyNumberFormat="1"/>
    <xf numFmtId="164" fontId="6" fillId="5" borderId="2" xfId="1" applyNumberFormat="1" applyFont="1" applyFill="1" applyBorder="1"/>
    <xf numFmtId="10" fontId="2" fillId="0" borderId="0" xfId="1" applyNumberFormat="1" applyFont="1" applyFill="1" applyBorder="1" applyAlignment="1">
      <alignment vertical="center"/>
    </xf>
    <xf numFmtId="164" fontId="0" fillId="0" borderId="0" xfId="1" applyNumberFormat="1" applyFont="1" applyAlignment="1">
      <alignment horizontal="left" wrapText="1"/>
    </xf>
    <xf numFmtId="43" fontId="4" fillId="0" borderId="0" xfId="0" applyNumberFormat="1" applyFont="1"/>
    <xf numFmtId="168" fontId="0" fillId="0" borderId="0" xfId="0" applyNumberFormat="1"/>
    <xf numFmtId="0" fontId="11" fillId="0" borderId="14" xfId="0" applyFont="1" applyBorder="1" applyAlignment="1">
      <alignment horizontal="justify" vertical="center" wrapText="1"/>
    </xf>
    <xf numFmtId="0" fontId="2" fillId="0" borderId="6" xfId="0" applyFont="1" applyBorder="1"/>
    <xf numFmtId="0" fontId="11" fillId="7" borderId="14" xfId="0" applyFont="1" applyFill="1" applyBorder="1" applyAlignment="1">
      <alignment horizontal="left" vertical="center" wrapText="1"/>
    </xf>
    <xf numFmtId="0" fontId="11" fillId="6" borderId="14" xfId="0" applyFont="1" applyFill="1" applyBorder="1" applyAlignment="1">
      <alignment horizontal="left" vertical="center" wrapText="1"/>
    </xf>
    <xf numFmtId="0" fontId="11" fillId="8" borderId="14" xfId="0" applyFont="1" applyFill="1" applyBorder="1" applyAlignment="1">
      <alignment horizontal="justify" vertical="center" wrapText="1"/>
    </xf>
    <xf numFmtId="0" fontId="13" fillId="0" borderId="14" xfId="0" applyFont="1" applyBorder="1" applyAlignment="1">
      <alignment wrapText="1"/>
    </xf>
    <xf numFmtId="0" fontId="11" fillId="3" borderId="14" xfId="0" applyFont="1" applyFill="1" applyBorder="1" applyAlignment="1">
      <alignment horizontal="justify" vertical="center" wrapText="1"/>
    </xf>
    <xf numFmtId="3" fontId="13" fillId="0" borderId="14" xfId="11" applyNumberFormat="1" applyFont="1" applyBorder="1" applyAlignment="1">
      <alignment vertical="center"/>
    </xf>
    <xf numFmtId="3" fontId="14" fillId="0" borderId="14" xfId="0" applyNumberFormat="1" applyFont="1" applyBorder="1" applyAlignment="1">
      <alignment vertical="center"/>
    </xf>
    <xf numFmtId="0" fontId="11" fillId="7" borderId="0" xfId="0" applyFont="1" applyFill="1" applyAlignment="1">
      <alignment horizontal="left" vertical="center" wrapText="1"/>
    </xf>
    <xf numFmtId="164" fontId="6" fillId="9" borderId="2" xfId="1" applyNumberFormat="1" applyFont="1" applyFill="1" applyBorder="1"/>
    <xf numFmtId="0" fontId="0" fillId="9" borderId="6" xfId="0" applyFill="1" applyBorder="1"/>
    <xf numFmtId="3" fontId="13" fillId="0" borderId="14" xfId="10" applyNumberFormat="1" applyFont="1" applyBorder="1" applyAlignment="1">
      <alignment vertical="center"/>
    </xf>
    <xf numFmtId="3" fontId="13" fillId="0" borderId="14" xfId="10" applyNumberFormat="1" applyFont="1" applyFill="1" applyBorder="1" applyAlignment="1">
      <alignment vertical="center"/>
    </xf>
    <xf numFmtId="3" fontId="14" fillId="0" borderId="15" xfId="0" applyNumberFormat="1" applyFont="1" applyBorder="1"/>
    <xf numFmtId="3" fontId="14" fillId="0" borderId="15" xfId="0" applyNumberFormat="1" applyFont="1" applyBorder="1" applyAlignment="1">
      <alignment horizontal="center"/>
    </xf>
    <xf numFmtId="3" fontId="14" fillId="0" borderId="15" xfId="0" applyNumberFormat="1" applyFont="1" applyBorder="1" applyAlignment="1">
      <alignment vertical="center"/>
    </xf>
    <xf numFmtId="3" fontId="14" fillId="0" borderId="14" xfId="10" applyNumberFormat="1" applyFont="1" applyBorder="1" applyAlignment="1">
      <alignment vertical="center"/>
    </xf>
    <xf numFmtId="3" fontId="14" fillId="0" borderId="14" xfId="10" applyNumberFormat="1" applyFont="1" applyBorder="1"/>
    <xf numFmtId="164" fontId="6" fillId="0" borderId="16" xfId="1" applyNumberFormat="1" applyFont="1" applyFill="1" applyBorder="1"/>
    <xf numFmtId="10" fontId="2" fillId="0" borderId="7" xfId="4" applyNumberFormat="1" applyFont="1" applyFill="1" applyBorder="1"/>
    <xf numFmtId="43" fontId="0" fillId="0" borderId="0" xfId="1" applyFont="1"/>
    <xf numFmtId="43" fontId="0" fillId="0" borderId="0" xfId="1" applyFont="1" applyAlignment="1">
      <alignment vertical="center"/>
    </xf>
    <xf numFmtId="43" fontId="0" fillId="0" borderId="0" xfId="1" applyFont="1" applyFill="1"/>
    <xf numFmtId="0" fontId="15" fillId="0" borderId="6" xfId="0" applyFont="1" applyBorder="1"/>
    <xf numFmtId="0" fontId="15" fillId="5" borderId="6" xfId="0" applyFont="1" applyFill="1" applyBorder="1" applyAlignment="1">
      <alignment horizontal="left" wrapText="1"/>
    </xf>
    <xf numFmtId="0" fontId="15" fillId="0" borderId="6" xfId="0" applyFont="1" applyBorder="1" applyAlignment="1">
      <alignment horizontal="justify" wrapText="1"/>
    </xf>
    <xf numFmtId="0" fontId="0" fillId="9" borderId="6" xfId="0" applyFill="1" applyBorder="1" applyAlignment="1">
      <alignment horizontal="justify" wrapText="1"/>
    </xf>
    <xf numFmtId="10" fontId="4" fillId="0" borderId="0" xfId="1" applyNumberFormat="1" applyFont="1"/>
    <xf numFmtId="10" fontId="0" fillId="0" borderId="0" xfId="1" applyNumberFormat="1" applyFont="1"/>
    <xf numFmtId="164" fontId="6" fillId="10" borderId="2" xfId="1" applyNumberFormat="1" applyFont="1" applyFill="1" applyBorder="1"/>
    <xf numFmtId="3" fontId="14" fillId="10" borderId="15" xfId="0" applyNumberFormat="1" applyFont="1" applyFill="1" applyBorder="1"/>
    <xf numFmtId="3" fontId="14" fillId="0" borderId="14" xfId="10" applyNumberFormat="1" applyFont="1" applyFill="1" applyBorder="1" applyAlignment="1">
      <alignment vertical="center"/>
    </xf>
    <xf numFmtId="164" fontId="6" fillId="11" borderId="2" xfId="1" applyNumberFormat="1" applyFont="1" applyFill="1" applyBorder="1"/>
    <xf numFmtId="3" fontId="14" fillId="11" borderId="15" xfId="0" applyNumberFormat="1" applyFont="1" applyFill="1" applyBorder="1"/>
    <xf numFmtId="0" fontId="16" fillId="2" borderId="5" xfId="0" applyFont="1" applyFill="1" applyBorder="1" applyAlignment="1">
      <alignment horizontal="justify" vertical="center" wrapText="1"/>
    </xf>
    <xf numFmtId="164" fontId="2" fillId="0" borderId="2" xfId="0" applyNumberFormat="1" applyFont="1" applyBorder="1"/>
    <xf numFmtId="3" fontId="14" fillId="5" borderId="14" xfId="10" applyNumberFormat="1" applyFont="1" applyFill="1" applyBorder="1" applyAlignment="1">
      <alignment vertical="center"/>
    </xf>
    <xf numFmtId="164" fontId="6" fillId="12" borderId="2" xfId="1" applyNumberFormat="1" applyFont="1" applyFill="1" applyBorder="1"/>
    <xf numFmtId="167" fontId="2" fillId="2" borderId="2" xfId="1" applyNumberFormat="1" applyFont="1" applyFill="1" applyBorder="1" applyAlignment="1">
      <alignment vertical="center"/>
    </xf>
    <xf numFmtId="43" fontId="2" fillId="2" borderId="2" xfId="0" applyNumberFormat="1" applyFont="1" applyFill="1" applyBorder="1"/>
    <xf numFmtId="43" fontId="8" fillId="0" borderId="0" xfId="3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164" fontId="0" fillId="0" borderId="0" xfId="1" applyNumberFormat="1" applyFont="1" applyAlignment="1">
      <alignment horizontal="left" wrapText="1"/>
    </xf>
  </cellXfs>
  <cellStyles count="12">
    <cellStyle name="Millares" xfId="1" builtinId="3"/>
    <cellStyle name="Millares 13" xfId="9" xr:uid="{F192DA75-91B2-469E-A361-3F8EC7C504C8}"/>
    <cellStyle name="Millares 17" xfId="8" xr:uid="{359C2981-905B-4E1E-AF6F-E0D1192CA49F}"/>
    <cellStyle name="Millares 2" xfId="5" xr:uid="{894E9143-984B-4210-B588-400529AC7FA3}"/>
    <cellStyle name="Millares 22" xfId="3" xr:uid="{5F630E82-B661-4D35-A9ED-3F08C2D85B46}"/>
    <cellStyle name="Millares 22 2" xfId="7" xr:uid="{E7BDD168-D8DB-42FB-94DE-F0DA41F99A18}"/>
    <cellStyle name="Moneda" xfId="10" builtinId="4"/>
    <cellStyle name="Moneda [0] 3" xfId="2" xr:uid="{F9B61FBC-3171-4D08-A43B-E17247AC1AD9}"/>
    <cellStyle name="Moneda [0] 3 2" xfId="6" xr:uid="{77E336C7-D0BC-45F9-B0B7-9285AB287D4B}"/>
    <cellStyle name="Moneda 6" xfId="11" xr:uid="{03B01CB7-AD74-4960-9EAE-FEAA26606DD5}"/>
    <cellStyle name="Normal" xfId="0" builtinId="0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9.xml"/><Relationship Id="rId18" Type="http://schemas.microsoft.com/office/2017/10/relationships/person" Target="persons/person.xml"/><Relationship Id="rId39" Type="http://schemas.microsoft.com/office/2017/10/relationships/person" Target="persons/person2.xml"/><Relationship Id="rId21" Type="http://schemas.openxmlformats.org/officeDocument/2006/relationships/customXml" Target="../customXml/item2.xml"/><Relationship Id="rId34" Type="http://schemas.microsoft.com/office/2017/10/relationships/person" Target="persons/person4.xml"/><Relationship Id="rId42" Type="http://schemas.microsoft.com/office/2017/10/relationships/person" Target="persons/person9.xml"/><Relationship Id="rId47" Type="http://schemas.microsoft.com/office/2017/10/relationships/person" Target="persons/person5.xml"/><Relationship Id="rId50" Type="http://schemas.microsoft.com/office/2017/10/relationships/person" Target="persons/person23.xml"/><Relationship Id="rId55" Type="http://schemas.microsoft.com/office/2017/10/relationships/person" Target="persons/person22.xml"/><Relationship Id="rId63" Type="http://schemas.microsoft.com/office/2017/10/relationships/person" Target="persons/person0.xml"/><Relationship Id="rId68" Type="http://schemas.microsoft.com/office/2017/10/relationships/person" Target="persons/person33.xml"/><Relationship Id="rId76" Type="http://schemas.microsoft.com/office/2017/10/relationships/person" Target="persons/person41.xml"/><Relationship Id="rId7" Type="http://schemas.openxmlformats.org/officeDocument/2006/relationships/externalLink" Target="externalLinks/externalLink3.xml"/><Relationship Id="rId71" Type="http://schemas.microsoft.com/office/2017/10/relationships/person" Target="persons/person35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40" Type="http://schemas.microsoft.com/office/2017/10/relationships/person" Target="persons/person20.xml"/><Relationship Id="rId37" Type="http://schemas.microsoft.com/office/2017/10/relationships/person" Target="persons/person12.xml"/><Relationship Id="rId45" Type="http://schemas.microsoft.com/office/2017/10/relationships/person" Target="persons/person17.xml"/><Relationship Id="rId53" Type="http://schemas.microsoft.com/office/2017/10/relationships/person" Target="persons/person16.xml"/><Relationship Id="rId58" Type="http://schemas.microsoft.com/office/2017/10/relationships/person" Target="persons/person26.xml"/><Relationship Id="rId66" Type="http://schemas.microsoft.com/office/2017/10/relationships/person" Target="persons/person32.xml"/><Relationship Id="rId74" Type="http://schemas.microsoft.com/office/2017/10/relationships/person" Target="persons/person42.xml"/><Relationship Id="rId79" Type="http://schemas.microsoft.com/office/2017/10/relationships/person" Target="persons/person46.xml"/><Relationship Id="rId5" Type="http://schemas.openxmlformats.org/officeDocument/2006/relationships/externalLink" Target="externalLinks/externalLink1.xml"/><Relationship Id="rId15" Type="http://schemas.openxmlformats.org/officeDocument/2006/relationships/theme" Target="theme/theme1.xml"/><Relationship Id="rId61" Type="http://schemas.microsoft.com/office/2017/10/relationships/person" Target="persons/person28.xml"/><Relationship Id="rId28" Type="http://schemas.microsoft.com/office/2017/10/relationships/person" Target="persons/person40.xml"/><Relationship Id="rId36" Type="http://schemas.microsoft.com/office/2017/10/relationships/person" Target="persons/person1.xml"/><Relationship Id="rId49" Type="http://schemas.microsoft.com/office/2017/10/relationships/person" Target="persons/person21.xml"/><Relationship Id="rId57" Type="http://schemas.microsoft.com/office/2017/10/relationships/person" Target="persons/person7.xml"/><Relationship Id="rId10" Type="http://schemas.openxmlformats.org/officeDocument/2006/relationships/externalLink" Target="externalLinks/externalLink6.xml"/><Relationship Id="rId19" Type="http://schemas.openxmlformats.org/officeDocument/2006/relationships/calcChain" Target="calcChain.xml"/><Relationship Id="rId60" Type="http://schemas.microsoft.com/office/2017/10/relationships/person" Target="persons/person27.xml"/><Relationship Id="rId52" Type="http://schemas.microsoft.com/office/2017/10/relationships/person" Target="persons/person24.xml"/><Relationship Id="rId44" Type="http://schemas.microsoft.com/office/2017/10/relationships/person" Target="persons/person15.xml"/><Relationship Id="rId65" Type="http://schemas.microsoft.com/office/2017/10/relationships/person" Target="persons/person30.xml"/><Relationship Id="rId73" Type="http://schemas.microsoft.com/office/2017/10/relationships/person" Target="persons/person38.xml"/><Relationship Id="rId78" Type="http://schemas.microsoft.com/office/2017/10/relationships/person" Target="persons/person4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Relationship Id="rId22" Type="http://schemas.openxmlformats.org/officeDocument/2006/relationships/customXml" Target="../customXml/item3.xml"/><Relationship Id="rId77" Type="http://schemas.microsoft.com/office/2017/10/relationships/person" Target="persons/person45.xml"/><Relationship Id="rId69" Type="http://schemas.microsoft.com/office/2017/10/relationships/person" Target="persons/person37.xml"/><Relationship Id="rId64" Type="http://schemas.microsoft.com/office/2017/10/relationships/person" Target="persons/person31.xml"/><Relationship Id="rId56" Type="http://schemas.microsoft.com/office/2017/10/relationships/person" Target="persons/person29.xml"/><Relationship Id="rId48" Type="http://schemas.microsoft.com/office/2017/10/relationships/person" Target="persons/person11.xml"/><Relationship Id="rId43" Type="http://schemas.microsoft.com/office/2017/10/relationships/person" Target="persons/person19.xml"/><Relationship Id="rId35" Type="http://schemas.microsoft.com/office/2017/10/relationships/person" Target="persons/person3.xml"/><Relationship Id="rId8" Type="http://schemas.openxmlformats.org/officeDocument/2006/relationships/externalLink" Target="externalLinks/externalLink4.xml"/><Relationship Id="rId72" Type="http://schemas.microsoft.com/office/2017/10/relationships/person" Target="persons/person39.xml"/><Relationship Id="rId51" Type="http://schemas.microsoft.com/office/2017/10/relationships/person" Target="persons/person8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8.xml"/><Relationship Id="rId17" Type="http://schemas.openxmlformats.org/officeDocument/2006/relationships/sharedStrings" Target="sharedStrings.xml"/><Relationship Id="rId67" Type="http://schemas.microsoft.com/office/2017/10/relationships/person" Target="persons/person34.xml"/><Relationship Id="rId38" Type="http://schemas.microsoft.com/office/2017/10/relationships/person" Target="persons/person14.xml"/><Relationship Id="rId46" Type="http://schemas.microsoft.com/office/2017/10/relationships/person" Target="persons/person18.xml"/><Relationship Id="rId59" Type="http://schemas.microsoft.com/office/2017/10/relationships/person" Target="persons/person25.xml"/><Relationship Id="rId20" Type="http://schemas.openxmlformats.org/officeDocument/2006/relationships/customXml" Target="../customXml/item1.xml"/><Relationship Id="rId75" Type="http://schemas.microsoft.com/office/2017/10/relationships/person" Target="persons/person43.xml"/><Relationship Id="rId70" Type="http://schemas.microsoft.com/office/2017/10/relationships/person" Target="persons/person36.xml"/><Relationship Id="rId41" Type="http://schemas.microsoft.com/office/2017/10/relationships/person" Target="persons/person13.xml"/><Relationship Id="rId54" Type="http://schemas.microsoft.com/office/2017/10/relationships/person" Target="persons/person6.xml"/><Relationship Id="rId62" Type="http://schemas.microsoft.com/office/2017/10/relationships/person" Target="persons/person10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idalmypalacios-my.sharepoint.com/personal/contadora_idalmypalacios_onmicrosoft_com/Documents/YOSSARLY/MIS%20DOCUMENTOS/PYK/2023/Estadosfros/Marzo/Situacionfraint202303V1.xls" TargetMode="External"/><Relationship Id="rId1" Type="http://schemas.openxmlformats.org/officeDocument/2006/relationships/externalLinkPath" Target="/personal/contadora_idalmypalacios_onmicrosoft_com/Documents/YOSSARLY/MIS%20DOCUMENTOS/PYK/2023/Estadosfros/Marzo/Situacionfraint202303V1.xls" TargetMode="External"/></Relationships>
</file>

<file path=xl/externalLinks/_rels/externalLink10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idalmypalacios-my.sharepoint.com/personal/contadora_idalmypalacios_onmicrosoft_com/Documents/YOSSARLY/MIS%20DOCUMENTOS/PYK/2024/Estfros/Enero/EjecucionPresentacion%20Ppto%20202401.xlsx" TargetMode="External"/><Relationship Id="rId1" Type="http://schemas.openxmlformats.org/officeDocument/2006/relationships/externalLinkPath" Target="/personal/contadora_idalmypalacios_onmicrosoft_com/Documents/YOSSARLY/MIS%20DOCUMENTOS/PYK/2024/Estfros/Enero/EjecucionPresentacion%20Ppto%20202401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ervidor\OneDrive%20-%20IDALMY%20YANETH%20PALACIOS%20HURTADO\YOSSARLY\MIS%20DOCUMENTOS\PYK\2023\Estadosfros\Febrero\Situacionfraint202302V2.xls" TargetMode="External"/><Relationship Id="rId1" Type="http://schemas.openxmlformats.org/officeDocument/2006/relationships/externalLinkPath" Target="file:///C:\Users\Servidor\OneDrive%20-%20IDALMY%20YANETH%20PALACIOS%20HURTADO\YOSSARLY\MIS%20DOCUMENTOS\PYK\2023\Estadosfros\Febrero\Situacionfraint202302V2.xls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idalmypalacios-my.sharepoint.com/personal/contadora_idalmypalacios_onmicrosoft_com/Documents/YOSSARLY/MIS%20DOCUMENTOS/PYK/2023/Estadosfros/Abril/Situacionfraint202304V1.xls" TargetMode="External"/><Relationship Id="rId1" Type="http://schemas.openxmlformats.org/officeDocument/2006/relationships/externalLinkPath" Target="/personal/contadora_idalmypalacios_onmicrosoft_com/Documents/YOSSARLY/MIS%20DOCUMENTOS/PYK/2023/Estadosfros/Abril/Situacionfraint202304V1.xls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idalmypalacios-my.sharepoint.com/personal/contadora_idalmypalacios_onmicrosoft_com/Documents/YOSSARLY/MIS%20DOCUMENTOS/PYK/2023/Estadosfros/Mayo/Situacionfraint202305V1.xls" TargetMode="External"/><Relationship Id="rId1" Type="http://schemas.openxmlformats.org/officeDocument/2006/relationships/externalLinkPath" Target="/personal/contadora_idalmypalacios_onmicrosoft_com/Documents/YOSSARLY/MIS%20DOCUMENTOS/PYK/2023/Estadosfros/Mayo/Situacionfraint202305V1.xls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idalmypalacios-my.sharepoint.com/personal/contadora_idalmypalacios_onmicrosoft_com/Documents/YOSSARLY/MIS%20DOCUMENTOS/PYK/2023/Presupuesto/EjecucionPptalPasivaAbril.xls" TargetMode="External"/><Relationship Id="rId1" Type="http://schemas.openxmlformats.org/officeDocument/2006/relationships/externalLinkPath" Target="/personal/contadora_idalmypalacios_onmicrosoft_com/Documents/YOSSARLY/MIS%20DOCUMENTOS/PYK/2023/Presupuesto/EjecucionPptalPasivaAbril.xls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idalmypalacios-my.sharepoint.com/personal/contadora_idalmypalacios_onmicrosoft_com/Documents/YOSSARLY/MIS%20DOCUMENTOS/PYK/2023/Presupuesto/EjecucionPptalPasivaMarzo.xls" TargetMode="External"/><Relationship Id="rId1" Type="http://schemas.openxmlformats.org/officeDocument/2006/relationships/externalLinkPath" Target="/personal/contadora_idalmypalacios_onmicrosoft_com/Documents/YOSSARLY/MIS%20DOCUMENTOS/PYK/2023/Presupuesto/EjecucionPptalPasivaMarzo.xls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idalmypalacios-my.sharepoint.com/personal/contadora_idalmypalacios_onmicrosoft_com/Documents/YOSSARLY/MIS%20DOCUMENTOS/PYK/2024/Ppto/Presupuesto_PyK_2024.xlsx" TargetMode="External"/><Relationship Id="rId1" Type="http://schemas.openxmlformats.org/officeDocument/2006/relationships/externalLinkPath" Target="/personal/contadora_idalmypalacios_onmicrosoft_com/Documents/YOSSARLY/MIS%20DOCUMENTOS/PYK/2024/Ppto/Presupuesto_PyK_2024.xlsx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idalmypalacios-my.sharepoint.com/personal/contadora_idalmypalacios_onmicrosoft_com/Documents/YOSSARLY/MIS%20DOCUMENTOS/PYK/2023/Presupuesto/Presupuesto%20Pyk_2023_SSPD_Dic%2007%202023originalw.xlsx" TargetMode="External"/><Relationship Id="rId1" Type="http://schemas.openxmlformats.org/officeDocument/2006/relationships/externalLinkPath" Target="/personal/contadora_idalmypalacios_onmicrosoft_com/Documents/YOSSARLY/MIS%20DOCUMENTOS/PYK/2023/Presupuesto/Presupuesto%20Pyk_2023_SSPD_Dic%2007%202023originalw.xlsx" TargetMode="External"/></Relationships>
</file>

<file path=xl/externalLinks/_rels/externalLink9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ervidor\Downloads\EjecucionPptalPasiva01%20(1).xls" TargetMode="External"/><Relationship Id="rId1" Type="http://schemas.openxmlformats.org/officeDocument/2006/relationships/externalLinkPath" Target="file:///C:\Users\Servidor\Downloads\EjecucionPptalPasiva01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sultados2022"/>
      <sheetName val="situacionfra2023comp"/>
      <sheetName val="Resultados2023Oegresos"/>
      <sheetName val="Resultados2023Oingresos"/>
      <sheetName val="Resultados2023gastos"/>
      <sheetName val="Resultados2023costos"/>
      <sheetName val="situacionfra2023"/>
      <sheetName val="Cambiosenelpatrimonio 2023"/>
      <sheetName val="Resultados2023"/>
      <sheetName val="Flujo de efectivo"/>
    </sheetNames>
    <sheetDataSet>
      <sheetData sheetId="0"/>
      <sheetData sheetId="1"/>
      <sheetData sheetId="2"/>
      <sheetData sheetId="3"/>
      <sheetData sheetId="4"/>
      <sheetData sheetId="5"/>
      <sheetData sheetId="6">
        <row r="6">
          <cell r="C6">
            <v>185153680.77000001</v>
          </cell>
        </row>
      </sheetData>
      <sheetData sheetId="7"/>
      <sheetData sheetId="8">
        <row r="9">
          <cell r="E9">
            <v>79753908</v>
          </cell>
        </row>
        <row r="25">
          <cell r="E25">
            <v>3505299</v>
          </cell>
        </row>
        <row r="39">
          <cell r="E39">
            <v>99619862.420000002</v>
          </cell>
        </row>
        <row r="175">
          <cell r="C175">
            <v>20255574.109999999</v>
          </cell>
          <cell r="E175">
            <v>16382954.67</v>
          </cell>
        </row>
      </sheetData>
      <sheetData sheetId="9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202302M"/>
      <sheetName val="202401anual"/>
      <sheetName val="2024Ej"/>
      <sheetName val="202301"/>
    </sheetNames>
    <sheetDataSet>
      <sheetData sheetId="0"/>
      <sheetData sheetId="1">
        <row r="144">
          <cell r="D144">
            <v>914143613.40208089</v>
          </cell>
        </row>
      </sheetData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sultados2022"/>
      <sheetName val="situacionfra2023comp"/>
      <sheetName val="Resultados2023Oegresos"/>
      <sheetName val="Resultados2023Oingresos"/>
      <sheetName val="Resultados2023gastos"/>
      <sheetName val="Resultados2023costos"/>
      <sheetName val="situacionfra2023"/>
      <sheetName val="Cambiosenelpatrimonio 2023"/>
      <sheetName val="Resultados2023"/>
      <sheetName val="Flujo de efectiv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9">
          <cell r="D9">
            <v>85695189.340000004</v>
          </cell>
        </row>
        <row r="24">
          <cell r="C24">
            <v>795185.72</v>
          </cell>
          <cell r="D24">
            <v>3544935.34</v>
          </cell>
        </row>
        <row r="25">
          <cell r="D25">
            <v>3491616</v>
          </cell>
        </row>
        <row r="39">
          <cell r="D39">
            <v>97961217.640000001</v>
          </cell>
        </row>
        <row r="55">
          <cell r="C55">
            <v>1277029.6400000001</v>
          </cell>
          <cell r="D55">
            <v>6860322.6399999997</v>
          </cell>
        </row>
        <row r="130">
          <cell r="C130">
            <v>349904</v>
          </cell>
        </row>
      </sheetData>
      <sheetData sheetId="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sultados2022"/>
      <sheetName val="situacionfra2023comp"/>
      <sheetName val="Resultados2023Oegresos"/>
      <sheetName val="Resultados2023Oingresos"/>
      <sheetName val="Resultados2023gastos"/>
      <sheetName val="Resultados2023costos"/>
      <sheetName val="situacionfra2023"/>
      <sheetName val="Cambiosenelpatrimonio 2023"/>
      <sheetName val="Resultados2023"/>
      <sheetName val="Flujo de efectiv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9">
          <cell r="F9">
            <v>74716769.890000001</v>
          </cell>
        </row>
        <row r="25">
          <cell r="F25">
            <v>3643137</v>
          </cell>
        </row>
        <row r="39">
          <cell r="F39">
            <v>106508725.89</v>
          </cell>
        </row>
      </sheetData>
      <sheetData sheetId="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sultados2022"/>
      <sheetName val="situacionfra2023comp"/>
      <sheetName val="Resultados2023Oegresos"/>
      <sheetName val="Resultados2023Oingresos"/>
      <sheetName val="Resultados2023gastos"/>
      <sheetName val="Resultados2023costos"/>
      <sheetName val="situacionfra2023"/>
      <sheetName val="Cambiosenelpatrimonio 2023"/>
      <sheetName val="Resultados2023"/>
      <sheetName val="Flujo de efectivo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>
        <row r="13">
          <cell r="C13">
            <v>401158426.21999997</v>
          </cell>
        </row>
      </sheetData>
      <sheetData sheetId="7"/>
      <sheetData sheetId="8"/>
      <sheetData sheetId="9"/>
      <sheetData sheetId="10" refreshError="1">
        <row r="9">
          <cell r="G9" t="str">
            <v>NUEVA EPS</v>
          </cell>
        </row>
        <row r="25">
          <cell r="G25" t="str">
            <v>NUEVA EPS</v>
          </cell>
        </row>
        <row r="39">
          <cell r="G39" t="str">
            <v>NUEVA EPS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jecucionPptalPasiva"/>
    </sheetNames>
    <sheetDataSet>
      <sheetData sheetId="0">
        <row r="203">
          <cell r="Q203">
            <v>600000</v>
          </cell>
        </row>
        <row r="228">
          <cell r="O228">
            <v>593000</v>
          </cell>
        </row>
        <row r="231">
          <cell r="O231">
            <v>634434</v>
          </cell>
        </row>
        <row r="234">
          <cell r="O234">
            <v>4758000</v>
          </cell>
        </row>
        <row r="275">
          <cell r="Q275">
            <v>118960</v>
          </cell>
        </row>
        <row r="276">
          <cell r="Q276">
            <v>794000</v>
          </cell>
        </row>
        <row r="281">
          <cell r="Q281">
            <v>5109000</v>
          </cell>
        </row>
        <row r="284">
          <cell r="Q284">
            <v>5451000</v>
          </cell>
        </row>
        <row r="285">
          <cell r="Q285">
            <v>703510</v>
          </cell>
        </row>
        <row r="289">
          <cell r="Q289">
            <v>8866000</v>
          </cell>
        </row>
        <row r="290">
          <cell r="Q290">
            <v>2429073</v>
          </cell>
        </row>
        <row r="294">
          <cell r="Q294">
            <v>1800000</v>
          </cell>
        </row>
        <row r="295">
          <cell r="Q295">
            <v>257345</v>
          </cell>
        </row>
        <row r="298">
          <cell r="Q298">
            <v>3478598</v>
          </cell>
        </row>
        <row r="398">
          <cell r="Q398">
            <v>705004</v>
          </cell>
        </row>
        <row r="399">
          <cell r="Q399">
            <v>1400000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jecucionPptalPasiva"/>
    </sheetNames>
    <sheetDataSet>
      <sheetData sheetId="0">
        <row r="231">
          <cell r="Q231">
            <v>1918811</v>
          </cell>
        </row>
        <row r="275">
          <cell r="Q275">
            <v>2067400</v>
          </cell>
        </row>
        <row r="276">
          <cell r="Q276">
            <v>794000</v>
          </cell>
        </row>
        <row r="278">
          <cell r="Q278">
            <v>602000</v>
          </cell>
        </row>
        <row r="279">
          <cell r="Q279">
            <v>2009690</v>
          </cell>
        </row>
        <row r="281">
          <cell r="Q281">
            <v>1080000</v>
          </cell>
        </row>
        <row r="282">
          <cell r="Q282">
            <v>2900000</v>
          </cell>
        </row>
        <row r="284">
          <cell r="Q284">
            <v>7994800</v>
          </cell>
        </row>
        <row r="285">
          <cell r="Q285">
            <v>610639</v>
          </cell>
        </row>
        <row r="287">
          <cell r="Q287">
            <v>1070000</v>
          </cell>
        </row>
        <row r="289">
          <cell r="Q289">
            <v>8866000</v>
          </cell>
        </row>
        <row r="290">
          <cell r="Q290">
            <v>2437120</v>
          </cell>
        </row>
        <row r="294">
          <cell r="Q294">
            <v>1800000</v>
          </cell>
        </row>
        <row r="295">
          <cell r="Q295">
            <v>257345</v>
          </cell>
        </row>
        <row r="398">
          <cell r="Q398">
            <v>1686820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etalles"/>
      <sheetName val="Planeación 2024 P&amp;K Hoja de W"/>
      <sheetName val="Planeación 2024 P&amp;K"/>
      <sheetName val="Inver Estud Dis e Inter. "/>
      <sheetName val="Hoja1"/>
    </sheetNames>
    <sheetDataSet>
      <sheetData sheetId="0" refreshError="1"/>
      <sheetData sheetId="1">
        <row r="5">
          <cell r="K5">
            <v>23497414.696837816</v>
          </cell>
          <cell r="L5">
            <v>23497414.696837816</v>
          </cell>
          <cell r="M5">
            <v>23497414.696837816</v>
          </cell>
          <cell r="N5">
            <v>23497414.696837816</v>
          </cell>
          <cell r="O5">
            <v>23497414.696837816</v>
          </cell>
          <cell r="P5">
            <v>23497414.696837816</v>
          </cell>
          <cell r="Q5">
            <v>23497414.696837816</v>
          </cell>
          <cell r="R5">
            <v>24359387.483510818</v>
          </cell>
          <cell r="S5">
            <v>24359387.483510818</v>
          </cell>
          <cell r="T5">
            <v>24359387.483510818</v>
          </cell>
          <cell r="U5">
            <v>24359387.483510818</v>
          </cell>
          <cell r="V5">
            <v>24359387.483510818</v>
          </cell>
        </row>
        <row r="6">
          <cell r="K6">
            <v>69032447.25</v>
          </cell>
          <cell r="L6">
            <v>69032447.25</v>
          </cell>
          <cell r="M6">
            <v>69032447.25</v>
          </cell>
          <cell r="N6">
            <v>69032447.25</v>
          </cell>
          <cell r="O6">
            <v>69032447.25</v>
          </cell>
          <cell r="P6">
            <v>69032447.25</v>
          </cell>
          <cell r="Q6">
            <v>69032447.25</v>
          </cell>
          <cell r="R6">
            <v>71564814.81871587</v>
          </cell>
          <cell r="S6">
            <v>71564814.81871587</v>
          </cell>
          <cell r="T6">
            <v>71564814.81871587</v>
          </cell>
          <cell r="U6">
            <v>71564814.81871587</v>
          </cell>
          <cell r="V6">
            <v>71564814.81871587</v>
          </cell>
        </row>
        <row r="7">
          <cell r="K7">
            <v>1500000</v>
          </cell>
          <cell r="L7">
            <v>1500000</v>
          </cell>
          <cell r="M7">
            <v>1500000</v>
          </cell>
          <cell r="N7">
            <v>1500000</v>
          </cell>
          <cell r="O7">
            <v>1500000</v>
          </cell>
          <cell r="P7">
            <v>1500000</v>
          </cell>
          <cell r="Q7">
            <v>1500000</v>
          </cell>
          <cell r="R7">
            <v>1500000</v>
          </cell>
          <cell r="S7">
            <v>1500000</v>
          </cell>
          <cell r="T7">
            <v>1500000</v>
          </cell>
          <cell r="U7">
            <v>1500000</v>
          </cell>
          <cell r="V7">
            <v>1500000</v>
          </cell>
        </row>
        <row r="8">
          <cell r="K8">
            <v>66000</v>
          </cell>
          <cell r="L8">
            <v>66000</v>
          </cell>
          <cell r="M8">
            <v>66000</v>
          </cell>
          <cell r="N8">
            <v>66000</v>
          </cell>
          <cell r="O8">
            <v>66000</v>
          </cell>
          <cell r="P8">
            <v>66000</v>
          </cell>
          <cell r="Q8">
            <v>66000</v>
          </cell>
          <cell r="R8">
            <v>66000</v>
          </cell>
          <cell r="S8">
            <v>66000</v>
          </cell>
          <cell r="T8">
            <v>66000</v>
          </cell>
          <cell r="U8">
            <v>66000</v>
          </cell>
          <cell r="V8">
            <v>66000</v>
          </cell>
        </row>
        <row r="9">
          <cell r="K9">
            <v>80662092.893341199</v>
          </cell>
          <cell r="L9">
            <v>87150663.773341209</v>
          </cell>
          <cell r="M9">
            <v>93639234.653341204</v>
          </cell>
          <cell r="N9">
            <v>100127805.5333412</v>
          </cell>
          <cell r="O9">
            <v>106616376.41334119</v>
          </cell>
          <cell r="P9">
            <v>113104947.2933412</v>
          </cell>
          <cell r="Q9">
            <v>119593518.1733412</v>
          </cell>
          <cell r="R9">
            <v>123980654.35227481</v>
          </cell>
          <cell r="S9">
            <v>123980654.35227481</v>
          </cell>
          <cell r="T9">
            <v>123980654.35227481</v>
          </cell>
          <cell r="U9">
            <v>123980654.35227481</v>
          </cell>
          <cell r="V9">
            <v>123980654.35227481</v>
          </cell>
        </row>
        <row r="10">
          <cell r="C10" t="str">
            <v>Cargo fijo alcantarillado</v>
          </cell>
          <cell r="K10">
            <v>283515.76220065932</v>
          </cell>
          <cell r="L10">
            <v>283515.76220065932</v>
          </cell>
          <cell r="M10">
            <v>283515.76220065932</v>
          </cell>
          <cell r="N10">
            <v>283515.76220065932</v>
          </cell>
          <cell r="O10">
            <v>283515.76220065932</v>
          </cell>
          <cell r="P10">
            <v>283515.76220065932</v>
          </cell>
          <cell r="Q10">
            <v>283515.76220065932</v>
          </cell>
          <cell r="R10">
            <v>293916.17751284735</v>
          </cell>
          <cell r="S10">
            <v>293916.17751284735</v>
          </cell>
          <cell r="T10">
            <v>293916.17751284735</v>
          </cell>
          <cell r="U10">
            <v>293916.17751284735</v>
          </cell>
          <cell r="V10">
            <v>293916.17751284735</v>
          </cell>
        </row>
        <row r="11">
          <cell r="C11" t="str">
            <v>Cargo variable alcantarillado</v>
          </cell>
          <cell r="K11">
            <v>480246.0874196685</v>
          </cell>
          <cell r="L11">
            <v>480246.0874196685</v>
          </cell>
          <cell r="M11">
            <v>480246.0874196685</v>
          </cell>
          <cell r="N11">
            <v>480246.0874196685</v>
          </cell>
          <cell r="O11">
            <v>480246.0874196685</v>
          </cell>
          <cell r="P11">
            <v>480246.0874196685</v>
          </cell>
          <cell r="Q11">
            <v>480246.0874196685</v>
          </cell>
          <cell r="R11">
            <v>497863.30461580743</v>
          </cell>
          <cell r="S11">
            <v>497863.30461580743</v>
          </cell>
          <cell r="T11">
            <v>497863.30461580743</v>
          </cell>
          <cell r="U11">
            <v>497863.30461580743</v>
          </cell>
          <cell r="V11">
            <v>497863.30461580743</v>
          </cell>
        </row>
        <row r="15">
          <cell r="C15" t="str">
            <v>Construcción de pequeños tramos de acueducto - Vecinales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sumennna"/>
      <sheetName val="Resumen Dic 07"/>
      <sheetName val="Plan de inversiones P&amp;K"/>
      <sheetName val="Inversiones AFE"/>
    </sheetNames>
    <sheetDataSet>
      <sheetData sheetId="0">
        <row r="311">
          <cell r="P311">
            <v>0</v>
          </cell>
          <cell r="Q311">
            <v>0</v>
          </cell>
          <cell r="R311">
            <v>0</v>
          </cell>
        </row>
        <row r="317">
          <cell r="P317">
            <v>0</v>
          </cell>
          <cell r="X317">
            <v>0</v>
          </cell>
          <cell r="Y317">
            <v>0</v>
          </cell>
        </row>
        <row r="318">
          <cell r="P318">
            <v>0</v>
          </cell>
          <cell r="R318">
            <v>0</v>
          </cell>
          <cell r="S318">
            <v>0</v>
          </cell>
          <cell r="T318">
            <v>0</v>
          </cell>
          <cell r="W318">
            <v>0</v>
          </cell>
          <cell r="X318">
            <v>0</v>
          </cell>
          <cell r="Z318">
            <v>0</v>
          </cell>
        </row>
        <row r="326">
          <cell r="S326">
            <v>0</v>
          </cell>
          <cell r="U326">
            <v>0</v>
          </cell>
          <cell r="W326">
            <v>0</v>
          </cell>
          <cell r="Y326">
            <v>0</v>
          </cell>
        </row>
        <row r="342">
          <cell r="P342">
            <v>0</v>
          </cell>
          <cell r="Q342">
            <v>0</v>
          </cell>
          <cell r="S342">
            <v>0</v>
          </cell>
          <cell r="T342">
            <v>0</v>
          </cell>
          <cell r="W342">
            <v>0</v>
          </cell>
          <cell r="X342">
            <v>0</v>
          </cell>
          <cell r="Y342">
            <v>0</v>
          </cell>
          <cell r="Z342">
            <v>0</v>
          </cell>
        </row>
        <row r="343">
          <cell r="Y343">
            <v>0</v>
          </cell>
          <cell r="Z343">
            <v>0</v>
          </cell>
        </row>
        <row r="348">
          <cell r="P348">
            <v>0</v>
          </cell>
          <cell r="Q348">
            <v>0</v>
          </cell>
          <cell r="S348">
            <v>0</v>
          </cell>
          <cell r="T348">
            <v>0</v>
          </cell>
          <cell r="U348">
            <v>0</v>
          </cell>
          <cell r="V348">
            <v>0</v>
          </cell>
          <cell r="X348">
            <v>0</v>
          </cell>
          <cell r="Y348">
            <v>0</v>
          </cell>
          <cell r="Z348">
            <v>0</v>
          </cell>
        </row>
        <row r="363"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U363">
            <v>0</v>
          </cell>
          <cell r="V363">
            <v>0</v>
          </cell>
          <cell r="W363">
            <v>0</v>
          </cell>
          <cell r="Y363">
            <v>0</v>
          </cell>
          <cell r="Z363">
            <v>0</v>
          </cell>
        </row>
      </sheetData>
      <sheetData sheetId="1"/>
      <sheetData sheetId="2"/>
      <sheetData sheetId="3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jecucionPptalPasiva"/>
    </sheetNames>
    <sheetDataSet>
      <sheetData sheetId="0">
        <row r="11">
          <cell r="S11">
            <v>308530151</v>
          </cell>
        </row>
      </sheetData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10.xml><?xml version="1.0" encoding="utf-8"?>
<personList xmlns="http://schemas.microsoft.com/office/spreadsheetml/2018/threadedcomments" xmlns:x="http://schemas.openxmlformats.org/spreadsheetml/2006/main"/>
</file>

<file path=xl/persons/person11.xml><?xml version="1.0" encoding="utf-8"?>
<personList xmlns="http://schemas.microsoft.com/office/spreadsheetml/2018/threadedcomments" xmlns:x="http://schemas.openxmlformats.org/spreadsheetml/2006/main"/>
</file>

<file path=xl/persons/person12.xml><?xml version="1.0" encoding="utf-8"?>
<personList xmlns="http://schemas.microsoft.com/office/spreadsheetml/2018/threadedcomments" xmlns:x="http://schemas.openxmlformats.org/spreadsheetml/2006/main"/>
</file>

<file path=xl/persons/person13.xml><?xml version="1.0" encoding="utf-8"?>
<personList xmlns="http://schemas.microsoft.com/office/spreadsheetml/2018/threadedcomments" xmlns:x="http://schemas.openxmlformats.org/spreadsheetml/2006/main"/>
</file>

<file path=xl/persons/person14.xml><?xml version="1.0" encoding="utf-8"?>
<personList xmlns="http://schemas.microsoft.com/office/spreadsheetml/2018/threadedcomments" xmlns:x="http://schemas.openxmlformats.org/spreadsheetml/2006/main"/>
</file>

<file path=xl/persons/person15.xml><?xml version="1.0" encoding="utf-8"?>
<personList xmlns="http://schemas.microsoft.com/office/spreadsheetml/2018/threadedcomments" xmlns:x="http://schemas.openxmlformats.org/spreadsheetml/2006/main"/>
</file>

<file path=xl/persons/person16.xml><?xml version="1.0" encoding="utf-8"?>
<personList xmlns="http://schemas.microsoft.com/office/spreadsheetml/2018/threadedcomments" xmlns:x="http://schemas.openxmlformats.org/spreadsheetml/2006/main"/>
</file>

<file path=xl/persons/person17.xml><?xml version="1.0" encoding="utf-8"?>
<personList xmlns="http://schemas.microsoft.com/office/spreadsheetml/2018/threadedcomments" xmlns:x="http://schemas.openxmlformats.org/spreadsheetml/2006/main"/>
</file>

<file path=xl/persons/person18.xml><?xml version="1.0" encoding="utf-8"?>
<personList xmlns="http://schemas.microsoft.com/office/spreadsheetml/2018/threadedcomments" xmlns:x="http://schemas.openxmlformats.org/spreadsheetml/2006/main"/>
</file>

<file path=xl/persons/person19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20.xml><?xml version="1.0" encoding="utf-8"?>
<personList xmlns="http://schemas.microsoft.com/office/spreadsheetml/2018/threadedcomments" xmlns:x="http://schemas.openxmlformats.org/spreadsheetml/2006/main"/>
</file>

<file path=xl/persons/person21.xml><?xml version="1.0" encoding="utf-8"?>
<personList xmlns="http://schemas.microsoft.com/office/spreadsheetml/2018/threadedcomments" xmlns:x="http://schemas.openxmlformats.org/spreadsheetml/2006/main"/>
</file>

<file path=xl/persons/person22.xml><?xml version="1.0" encoding="utf-8"?>
<personList xmlns="http://schemas.microsoft.com/office/spreadsheetml/2018/threadedcomments" xmlns:x="http://schemas.openxmlformats.org/spreadsheetml/2006/main"/>
</file>

<file path=xl/persons/person23.xml><?xml version="1.0" encoding="utf-8"?>
<personList xmlns="http://schemas.microsoft.com/office/spreadsheetml/2018/threadedcomments" xmlns:x="http://schemas.openxmlformats.org/spreadsheetml/2006/main"/>
</file>

<file path=xl/persons/person24.xml><?xml version="1.0" encoding="utf-8"?>
<personList xmlns="http://schemas.microsoft.com/office/spreadsheetml/2018/threadedcomments" xmlns:x="http://schemas.openxmlformats.org/spreadsheetml/2006/main"/>
</file>

<file path=xl/persons/person25.xml><?xml version="1.0" encoding="utf-8"?>
<personList xmlns="http://schemas.microsoft.com/office/spreadsheetml/2018/threadedcomments" xmlns:x="http://schemas.openxmlformats.org/spreadsheetml/2006/main"/>
</file>

<file path=xl/persons/person26.xml><?xml version="1.0" encoding="utf-8"?>
<personList xmlns="http://schemas.microsoft.com/office/spreadsheetml/2018/threadedcomments" xmlns:x="http://schemas.openxmlformats.org/spreadsheetml/2006/main"/>
</file>

<file path=xl/persons/person27.xml><?xml version="1.0" encoding="utf-8"?>
<personList xmlns="http://schemas.microsoft.com/office/spreadsheetml/2018/threadedcomments" xmlns:x="http://schemas.openxmlformats.org/spreadsheetml/2006/main"/>
</file>

<file path=xl/persons/person28.xml><?xml version="1.0" encoding="utf-8"?>
<personList xmlns="http://schemas.microsoft.com/office/spreadsheetml/2018/threadedcomments" xmlns:x="http://schemas.openxmlformats.org/spreadsheetml/2006/main"/>
</file>

<file path=xl/persons/person29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persons/person30.xml><?xml version="1.0" encoding="utf-8"?>
<personList xmlns="http://schemas.microsoft.com/office/spreadsheetml/2018/threadedcomments" xmlns:x="http://schemas.openxmlformats.org/spreadsheetml/2006/main"/>
</file>

<file path=xl/persons/person31.xml><?xml version="1.0" encoding="utf-8"?>
<personList xmlns="http://schemas.microsoft.com/office/spreadsheetml/2018/threadedcomments" xmlns:x="http://schemas.openxmlformats.org/spreadsheetml/2006/main"/>
</file>

<file path=xl/persons/person32.xml><?xml version="1.0" encoding="utf-8"?>
<personList xmlns="http://schemas.microsoft.com/office/spreadsheetml/2018/threadedcomments" xmlns:x="http://schemas.openxmlformats.org/spreadsheetml/2006/main"/>
</file>

<file path=xl/persons/person33.xml><?xml version="1.0" encoding="utf-8"?>
<personList xmlns="http://schemas.microsoft.com/office/spreadsheetml/2018/threadedcomments" xmlns:x="http://schemas.openxmlformats.org/spreadsheetml/2006/main"/>
</file>

<file path=xl/persons/person34.xml><?xml version="1.0" encoding="utf-8"?>
<personList xmlns="http://schemas.microsoft.com/office/spreadsheetml/2018/threadedcomments" xmlns:x="http://schemas.openxmlformats.org/spreadsheetml/2006/main"/>
</file>

<file path=xl/persons/person35.xml><?xml version="1.0" encoding="utf-8"?>
<personList xmlns="http://schemas.microsoft.com/office/spreadsheetml/2018/threadedcomments" xmlns:x="http://schemas.openxmlformats.org/spreadsheetml/2006/main"/>
</file>

<file path=xl/persons/person36.xml><?xml version="1.0" encoding="utf-8"?>
<personList xmlns="http://schemas.microsoft.com/office/spreadsheetml/2018/threadedcomments" xmlns:x="http://schemas.openxmlformats.org/spreadsheetml/2006/main"/>
</file>

<file path=xl/persons/person37.xml><?xml version="1.0" encoding="utf-8"?>
<personList xmlns="http://schemas.microsoft.com/office/spreadsheetml/2018/threadedcomments" xmlns:x="http://schemas.openxmlformats.org/spreadsheetml/2006/main"/>
</file>

<file path=xl/persons/person38.xml><?xml version="1.0" encoding="utf-8"?>
<personList xmlns="http://schemas.microsoft.com/office/spreadsheetml/2018/threadedcomments" xmlns:x="http://schemas.openxmlformats.org/spreadsheetml/2006/main"/>
</file>

<file path=xl/persons/person39.xml><?xml version="1.0" encoding="utf-8"?>
<personList xmlns="http://schemas.microsoft.com/office/spreadsheetml/2018/threadedcomments" xmlns:x="http://schemas.openxmlformats.org/spreadsheetml/2006/main"/>
</file>

<file path=xl/persons/person4.xml><?xml version="1.0" encoding="utf-8"?>
<personList xmlns="http://schemas.microsoft.com/office/spreadsheetml/2018/threadedcomments" xmlns:x="http://schemas.openxmlformats.org/spreadsheetml/2006/main"/>
</file>

<file path=xl/persons/person40.xml><?xml version="1.0" encoding="utf-8"?>
<personList xmlns="http://schemas.microsoft.com/office/spreadsheetml/2018/threadedcomments" xmlns:x="http://schemas.openxmlformats.org/spreadsheetml/2006/main"/>
</file>

<file path=xl/persons/person41.xml><?xml version="1.0" encoding="utf-8"?>
<personList xmlns="http://schemas.microsoft.com/office/spreadsheetml/2018/threadedcomments" xmlns:x="http://schemas.openxmlformats.org/spreadsheetml/2006/main"/>
</file>

<file path=xl/persons/person42.xml><?xml version="1.0" encoding="utf-8"?>
<personList xmlns="http://schemas.microsoft.com/office/spreadsheetml/2018/threadedcomments" xmlns:x="http://schemas.openxmlformats.org/spreadsheetml/2006/main"/>
</file>

<file path=xl/persons/person43.xml><?xml version="1.0" encoding="utf-8"?>
<personList xmlns="http://schemas.microsoft.com/office/spreadsheetml/2018/threadedcomments" xmlns:x="http://schemas.openxmlformats.org/spreadsheetml/2006/main"/>
</file>

<file path=xl/persons/person44.xml><?xml version="1.0" encoding="utf-8"?>
<personList xmlns="http://schemas.microsoft.com/office/spreadsheetml/2018/threadedcomments" xmlns:x="http://schemas.openxmlformats.org/spreadsheetml/2006/main"/>
</file>

<file path=xl/persons/person45.xml><?xml version="1.0" encoding="utf-8"?>
<personList xmlns="http://schemas.microsoft.com/office/spreadsheetml/2018/threadedcomments" xmlns:x="http://schemas.openxmlformats.org/spreadsheetml/2006/main"/>
</file>

<file path=xl/persons/person46.xml><?xml version="1.0" encoding="utf-8"?>
<personList xmlns="http://schemas.microsoft.com/office/spreadsheetml/2018/threadedcomments" xmlns:x="http://schemas.openxmlformats.org/spreadsheetml/2006/main"/>
</file>

<file path=xl/persons/person5.xml><?xml version="1.0" encoding="utf-8"?>
<personList xmlns="http://schemas.microsoft.com/office/spreadsheetml/2018/threadedcomments" xmlns:x="http://schemas.openxmlformats.org/spreadsheetml/2006/main"/>
</file>

<file path=xl/persons/person6.xml><?xml version="1.0" encoding="utf-8"?>
<personList xmlns="http://schemas.microsoft.com/office/spreadsheetml/2018/threadedcomments" xmlns:x="http://schemas.openxmlformats.org/spreadsheetml/2006/main"/>
</file>

<file path=xl/persons/person7.xml><?xml version="1.0" encoding="utf-8"?>
<personList xmlns="http://schemas.microsoft.com/office/spreadsheetml/2018/threadedcomments" xmlns:x="http://schemas.openxmlformats.org/spreadsheetml/2006/main"/>
</file>

<file path=xl/persons/person8.xml><?xml version="1.0" encoding="utf-8"?>
<personList xmlns="http://schemas.microsoft.com/office/spreadsheetml/2018/threadedcomments" xmlns:x="http://schemas.openxmlformats.org/spreadsheetml/2006/main"/>
</file>

<file path=xl/persons/person9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1837CE-CB2C-46D3-B3DD-89A8F02A2D93}">
  <sheetPr>
    <tabColor rgb="FFFFC000"/>
  </sheetPr>
  <dimension ref="A1:AO104"/>
  <sheetViews>
    <sheetView showGridLines="0" zoomScale="86" zoomScaleNormal="86" workbookViewId="0">
      <pane xSplit="1" ySplit="5" topLeftCell="O24" activePane="bottomRight" state="frozen"/>
      <selection pane="topRight" activeCell="B1" sqref="B1"/>
      <selection pane="bottomLeft" activeCell="A5" sqref="A5"/>
      <selection pane="bottomRight" activeCell="P26" sqref="P26"/>
    </sheetView>
  </sheetViews>
  <sheetFormatPr baseColWidth="10" defaultColWidth="11.42578125" defaultRowHeight="15" x14ac:dyDescent="0.25"/>
  <cols>
    <col min="1" max="1" width="49.28515625" customWidth="1"/>
    <col min="2" max="2" width="17.28515625" bestFit="1" customWidth="1"/>
    <col min="3" max="3" width="15.5703125" bestFit="1" customWidth="1"/>
    <col min="4" max="8" width="15.5703125" customWidth="1"/>
    <col min="9" max="11" width="16.7109375" customWidth="1"/>
    <col min="12" max="20" width="16.140625" customWidth="1"/>
    <col min="21" max="21" width="16.140625" hidden="1" customWidth="1"/>
    <col min="22" max="25" width="16.7109375" hidden="1" customWidth="1"/>
    <col min="26" max="26" width="16.140625" hidden="1" customWidth="1"/>
    <col min="27" max="28" width="16.140625" customWidth="1"/>
    <col min="29" max="29" width="18.42578125" bestFit="1" customWidth="1"/>
    <col min="30" max="30" width="9.5703125" bestFit="1" customWidth="1"/>
    <col min="31" max="31" width="18.42578125" bestFit="1" customWidth="1"/>
    <col min="32" max="32" width="15.85546875" bestFit="1" customWidth="1"/>
    <col min="33" max="33" width="15.85546875" customWidth="1"/>
    <col min="34" max="34" width="15.5703125" customWidth="1"/>
    <col min="35" max="35" width="17.28515625" customWidth="1"/>
    <col min="36" max="36" width="18.42578125" customWidth="1"/>
    <col min="37" max="39" width="15.5703125" customWidth="1"/>
    <col min="40" max="41" width="14" customWidth="1"/>
    <col min="42" max="42" width="11.42578125" customWidth="1"/>
  </cols>
  <sheetData>
    <row r="1" spans="1:41" x14ac:dyDescent="0.25">
      <c r="A1" s="98" t="s">
        <v>51</v>
      </c>
      <c r="B1" s="98"/>
      <c r="C1" s="98"/>
      <c r="D1" s="14"/>
      <c r="E1" s="14"/>
    </row>
    <row r="2" spans="1:41" x14ac:dyDescent="0.25">
      <c r="A2" s="14"/>
      <c r="B2" s="14"/>
      <c r="C2" s="14"/>
      <c r="D2" s="14"/>
      <c r="E2" s="14"/>
    </row>
    <row r="3" spans="1:41" ht="15.75" thickBot="1" x14ac:dyDescent="0.3">
      <c r="A3" s="99" t="s">
        <v>64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99"/>
      <c r="S3" s="99"/>
      <c r="T3" s="99"/>
      <c r="U3" s="99"/>
      <c r="V3" s="99"/>
      <c r="W3" s="99"/>
      <c r="X3" s="99"/>
      <c r="Y3" s="99"/>
      <c r="Z3" s="99"/>
      <c r="AA3" s="99"/>
      <c r="AB3" s="99"/>
      <c r="AC3" s="99"/>
      <c r="AD3" s="99"/>
      <c r="AE3" s="23"/>
      <c r="AF3" s="23"/>
      <c r="AG3" s="23"/>
    </row>
    <row r="4" spans="1:41" ht="15.75" thickBot="1" x14ac:dyDescent="0.3">
      <c r="A4" s="23"/>
      <c r="B4" s="23"/>
      <c r="C4" s="100" t="s">
        <v>105</v>
      </c>
      <c r="D4" s="101"/>
      <c r="E4" s="102"/>
      <c r="F4" s="100" t="s">
        <v>107</v>
      </c>
      <c r="G4" s="101"/>
      <c r="H4" s="102"/>
      <c r="I4" s="100" t="s">
        <v>109</v>
      </c>
      <c r="J4" s="101"/>
      <c r="K4" s="102"/>
      <c r="L4" s="100" t="s">
        <v>112</v>
      </c>
      <c r="M4" s="101"/>
      <c r="N4" s="102"/>
      <c r="O4" s="100" t="s">
        <v>113</v>
      </c>
      <c r="P4" s="101"/>
      <c r="Q4" s="102"/>
      <c r="R4" s="100" t="s">
        <v>115</v>
      </c>
      <c r="S4" s="101"/>
      <c r="T4" s="102"/>
      <c r="U4" s="23"/>
      <c r="V4" s="23"/>
      <c r="W4" s="23"/>
      <c r="X4" s="23"/>
      <c r="Y4" s="23"/>
      <c r="Z4" s="23"/>
      <c r="AA4" s="103" t="s">
        <v>48</v>
      </c>
      <c r="AB4" s="104"/>
      <c r="AC4" s="104"/>
      <c r="AD4" s="105"/>
      <c r="AE4" s="23"/>
      <c r="AF4" s="23"/>
      <c r="AG4" s="23"/>
    </row>
    <row r="5" spans="1:41" s="19" customFormat="1" ht="30" x14ac:dyDescent="0.25">
      <c r="A5" s="16" t="s">
        <v>50</v>
      </c>
      <c r="B5" s="17" t="s">
        <v>63</v>
      </c>
      <c r="C5" s="17" t="s">
        <v>40</v>
      </c>
      <c r="D5" s="17" t="s">
        <v>99</v>
      </c>
      <c r="E5" s="17" t="s">
        <v>100</v>
      </c>
      <c r="F5" s="17" t="s">
        <v>41</v>
      </c>
      <c r="G5" s="17" t="s">
        <v>106</v>
      </c>
      <c r="H5" s="17" t="s">
        <v>100</v>
      </c>
      <c r="I5" s="17" t="s">
        <v>42</v>
      </c>
      <c r="J5" s="17" t="s">
        <v>106</v>
      </c>
      <c r="K5" s="17" t="s">
        <v>100</v>
      </c>
      <c r="L5" s="17" t="s">
        <v>43</v>
      </c>
      <c r="M5" s="17" t="s">
        <v>106</v>
      </c>
      <c r="N5" s="17" t="s">
        <v>100</v>
      </c>
      <c r="O5" s="17" t="s">
        <v>44</v>
      </c>
      <c r="P5" s="17" t="s">
        <v>106</v>
      </c>
      <c r="Q5" s="17" t="s">
        <v>100</v>
      </c>
      <c r="R5" s="17" t="s">
        <v>6</v>
      </c>
      <c r="S5" s="17" t="s">
        <v>106</v>
      </c>
      <c r="T5" s="17" t="s">
        <v>100</v>
      </c>
      <c r="U5" s="17" t="s">
        <v>5</v>
      </c>
      <c r="V5" s="17" t="s">
        <v>45</v>
      </c>
      <c r="W5" s="17" t="s">
        <v>46</v>
      </c>
      <c r="X5" s="17" t="s">
        <v>47</v>
      </c>
      <c r="Y5" s="17" t="s">
        <v>4</v>
      </c>
      <c r="Z5" s="17" t="s">
        <v>3</v>
      </c>
      <c r="AA5" s="28" t="s">
        <v>102</v>
      </c>
      <c r="AB5" s="28" t="s">
        <v>103</v>
      </c>
      <c r="AC5" s="28" t="s">
        <v>104</v>
      </c>
      <c r="AD5" s="18" t="s">
        <v>49</v>
      </c>
      <c r="AE5" s="33"/>
      <c r="AF5" s="33"/>
      <c r="AG5" s="33"/>
    </row>
    <row r="6" spans="1:41" x14ac:dyDescent="0.25">
      <c r="A6" s="5" t="s">
        <v>94</v>
      </c>
      <c r="B6" s="4">
        <v>116980329</v>
      </c>
      <c r="C6" s="4">
        <v>0</v>
      </c>
      <c r="D6" s="4">
        <v>0</v>
      </c>
      <c r="E6" s="4">
        <f>+C6-D6</f>
        <v>0</v>
      </c>
      <c r="F6" s="4">
        <v>0</v>
      </c>
      <c r="G6" s="4">
        <v>0</v>
      </c>
      <c r="H6" s="4">
        <f t="shared" ref="H6:H19" si="0">+F6-G6</f>
        <v>0</v>
      </c>
      <c r="I6" s="4">
        <f>+'202401anual'!E6</f>
        <v>23497414.696837816</v>
      </c>
      <c r="J6" s="4">
        <v>0</v>
      </c>
      <c r="K6" s="4">
        <f t="shared" ref="K6:K22" si="1">+I6-J6</f>
        <v>23497414.696837816</v>
      </c>
      <c r="L6" s="4">
        <f>+'202401anual'!F6</f>
        <v>23497414.696837816</v>
      </c>
      <c r="M6" s="4">
        <f>6656089.59-1858002.8</f>
        <v>4798086.79</v>
      </c>
      <c r="N6" s="4">
        <f t="shared" ref="N6:N11" si="2">+L6-M6</f>
        <v>18699327.906837817</v>
      </c>
      <c r="O6" s="4">
        <f>+'202401anual'!G6</f>
        <v>23497414.696837816</v>
      </c>
      <c r="P6" s="4">
        <f>41573.83-16871.76+11161757.15-3147286.65+365554.54-96309.64</f>
        <v>8308417.4699999997</v>
      </c>
      <c r="Q6" s="4">
        <f t="shared" ref="Q6:Q11" si="3">+O6-P6</f>
        <v>15188997.226837818</v>
      </c>
      <c r="R6" s="4">
        <f>+'202401anual'!H6</f>
        <v>23497414.696837816</v>
      </c>
      <c r="S6" s="4"/>
      <c r="T6" s="4">
        <f t="shared" ref="T6:T11" si="4">+R6-S6</f>
        <v>23497414.696837816</v>
      </c>
      <c r="U6" s="4"/>
      <c r="V6" s="4"/>
      <c r="W6" s="4"/>
      <c r="X6" s="4"/>
      <c r="Y6" s="4"/>
      <c r="Z6" s="4"/>
      <c r="AA6" s="4">
        <f>+C6+F6+I6+L6+O6+R6</f>
        <v>93989658.787351266</v>
      </c>
      <c r="AB6" s="4">
        <f>+D6+G6+J6+M6+P6+S6</f>
        <v>13106504.26</v>
      </c>
      <c r="AC6" s="4">
        <f>+AA6-AB6</f>
        <v>80883154.52735126</v>
      </c>
      <c r="AD6" s="43">
        <f t="shared" ref="AD6:AD8" si="5">+AC6/AA6</f>
        <v>0.86055376273199302</v>
      </c>
      <c r="AE6" s="34"/>
      <c r="AF6" s="34"/>
      <c r="AG6" s="34"/>
      <c r="AH6" s="2"/>
      <c r="AI6" s="2"/>
    </row>
    <row r="7" spans="1:41" x14ac:dyDescent="0.25">
      <c r="A7" s="5" t="s">
        <v>95</v>
      </c>
      <c r="B7" s="4">
        <v>727688079.04725444</v>
      </c>
      <c r="C7" s="4">
        <v>0</v>
      </c>
      <c r="D7" s="4">
        <v>0</v>
      </c>
      <c r="E7" s="4">
        <f t="shared" ref="E7:E22" si="6">+C7-D7</f>
        <v>0</v>
      </c>
      <c r="F7" s="4">
        <v>0</v>
      </c>
      <c r="G7" s="4">
        <v>0</v>
      </c>
      <c r="H7" s="4">
        <f t="shared" si="0"/>
        <v>0</v>
      </c>
      <c r="I7" s="4">
        <f>+'202401anual'!E7</f>
        <v>69032447.25</v>
      </c>
      <c r="J7" s="4">
        <v>0</v>
      </c>
      <c r="K7" s="4">
        <f t="shared" si="1"/>
        <v>69032447.25</v>
      </c>
      <c r="L7" s="4">
        <f>+'202401anual'!F7</f>
        <v>69032447.25</v>
      </c>
      <c r="M7" s="4">
        <f>8880801.04-1355094.16</f>
        <v>7525706.879999999</v>
      </c>
      <c r="N7" s="4">
        <f t="shared" si="2"/>
        <v>61506740.370000005</v>
      </c>
      <c r="O7" s="4">
        <f>+'202401anual'!G7</f>
        <v>69032447.25</v>
      </c>
      <c r="P7" s="4">
        <f>84673.96-18192.96+20293885.7-3331592.73+1132560-166295.4</f>
        <v>17995038.57</v>
      </c>
      <c r="Q7" s="4">
        <f t="shared" si="3"/>
        <v>51037408.68</v>
      </c>
      <c r="R7" s="4">
        <f>+'202401anual'!H7</f>
        <v>69032447.25</v>
      </c>
      <c r="S7" s="4"/>
      <c r="T7" s="4">
        <f t="shared" si="4"/>
        <v>69032447.25</v>
      </c>
      <c r="U7" s="4"/>
      <c r="V7" s="4"/>
      <c r="W7" s="4"/>
      <c r="X7" s="4"/>
      <c r="Y7" s="4"/>
      <c r="Z7" s="4"/>
      <c r="AA7" s="4">
        <f t="shared" ref="AA7:AB11" si="7">+C7+F7+I7+L7+O7+R7</f>
        <v>276129789</v>
      </c>
      <c r="AB7" s="4">
        <f t="shared" si="7"/>
        <v>25520745.449999999</v>
      </c>
      <c r="AC7" s="4">
        <f t="shared" ref="AC7:AC11" si="8">+AA7-AB7</f>
        <v>250609043.55000001</v>
      </c>
      <c r="AD7" s="43">
        <f t="shared" si="5"/>
        <v>0.90757699289735094</v>
      </c>
      <c r="AE7" s="34"/>
      <c r="AF7" s="34"/>
      <c r="AG7" s="34"/>
      <c r="AH7" s="2"/>
      <c r="AI7" s="2"/>
    </row>
    <row r="8" spans="1:41" x14ac:dyDescent="0.25">
      <c r="A8" s="5" t="s">
        <v>114</v>
      </c>
      <c r="B8" s="4">
        <v>1460371848</v>
      </c>
      <c r="C8" s="4">
        <v>0</v>
      </c>
      <c r="D8" s="4">
        <v>0</v>
      </c>
      <c r="E8" s="4">
        <f t="shared" si="6"/>
        <v>0</v>
      </c>
      <c r="F8" s="4">
        <v>0</v>
      </c>
      <c r="G8" s="4">
        <v>0</v>
      </c>
      <c r="H8" s="4">
        <f t="shared" si="0"/>
        <v>0</v>
      </c>
      <c r="I8" s="4">
        <f>+'202401anual'!E8</f>
        <v>1500000</v>
      </c>
      <c r="J8" s="4">
        <v>1000210</v>
      </c>
      <c r="K8" s="4">
        <f t="shared" si="1"/>
        <v>499790</v>
      </c>
      <c r="L8" s="4">
        <f>+'202401anual'!F8</f>
        <v>1500000</v>
      </c>
      <c r="M8" s="4">
        <v>2529667</v>
      </c>
      <c r="N8" s="4">
        <f t="shared" si="2"/>
        <v>-1029667</v>
      </c>
      <c r="O8" s="4">
        <f>+'202401anual'!G8</f>
        <v>1500000</v>
      </c>
      <c r="P8" s="4">
        <f>3331955.26+166683</f>
        <v>3498638.26</v>
      </c>
      <c r="Q8" s="4">
        <f t="shared" si="3"/>
        <v>-1998638.2599999998</v>
      </c>
      <c r="R8" s="4">
        <f>+'202401anual'!H8</f>
        <v>1500000</v>
      </c>
      <c r="S8" s="4"/>
      <c r="T8" s="4">
        <f t="shared" si="4"/>
        <v>1500000</v>
      </c>
      <c r="U8" s="4"/>
      <c r="V8" s="4"/>
      <c r="W8" s="4"/>
      <c r="X8" s="4"/>
      <c r="Y8" s="4"/>
      <c r="Z8" s="4"/>
      <c r="AA8" s="4">
        <f t="shared" si="7"/>
        <v>6000000</v>
      </c>
      <c r="AB8" s="4">
        <f t="shared" si="7"/>
        <v>7028515.2599999998</v>
      </c>
      <c r="AC8" s="4">
        <f t="shared" si="8"/>
        <v>-1028515.2599999998</v>
      </c>
      <c r="AD8" s="43">
        <f t="shared" si="5"/>
        <v>-0.17141920999999996</v>
      </c>
      <c r="AE8" s="34"/>
      <c r="AF8" s="34"/>
      <c r="AG8" s="34"/>
      <c r="AH8" s="2"/>
      <c r="AI8" s="2"/>
    </row>
    <row r="9" spans="1:41" x14ac:dyDescent="0.25">
      <c r="A9" s="5" t="s">
        <v>97</v>
      </c>
      <c r="B9" s="4">
        <v>384000000</v>
      </c>
      <c r="C9" s="4">
        <v>32000000</v>
      </c>
      <c r="D9" s="4">
        <v>35018397.310000002</v>
      </c>
      <c r="E9" s="4">
        <f t="shared" si="6"/>
        <v>-3018397.3100000024</v>
      </c>
      <c r="F9" s="4">
        <v>32000000</v>
      </c>
      <c r="G9" s="4">
        <v>22235664</v>
      </c>
      <c r="H9" s="4">
        <f t="shared" si="0"/>
        <v>9764336</v>
      </c>
      <c r="I9" s="4">
        <f>+'202401anual'!E10</f>
        <v>93639234.653341204</v>
      </c>
      <c r="J9" s="4">
        <f>23782524.8+499828.7</f>
        <v>24282353.5</v>
      </c>
      <c r="K9" s="4">
        <f t="shared" si="1"/>
        <v>69356881.153341204</v>
      </c>
      <c r="L9" s="4">
        <f>+'202401anual'!F10</f>
        <v>100127805.5333412</v>
      </c>
      <c r="M9" s="4">
        <f>31917625-14853460.67-90490.51</f>
        <v>16973673.819999997</v>
      </c>
      <c r="N9" s="4">
        <f t="shared" si="2"/>
        <v>83154131.713341206</v>
      </c>
      <c r="O9" s="4">
        <f>+'202401anual'!G10</f>
        <v>106616376.41334119</v>
      </c>
      <c r="P9" s="4">
        <f>24478075.71-863600</f>
        <v>23614475.710000001</v>
      </c>
      <c r="Q9" s="4">
        <f t="shared" si="3"/>
        <v>83001900.703341186</v>
      </c>
      <c r="R9" s="4">
        <f>+'202401anual'!H10</f>
        <v>113104947.2933412</v>
      </c>
      <c r="S9" s="4"/>
      <c r="T9" s="4">
        <f t="shared" si="4"/>
        <v>113104947.2933412</v>
      </c>
      <c r="U9" s="4"/>
      <c r="V9" s="4"/>
      <c r="W9" s="4"/>
      <c r="X9" s="4"/>
      <c r="Y9" s="4"/>
      <c r="Z9" s="4"/>
      <c r="AA9" s="4">
        <f t="shared" si="7"/>
        <v>477488363.89336485</v>
      </c>
      <c r="AB9" s="4">
        <f t="shared" si="7"/>
        <v>122124564.34</v>
      </c>
      <c r="AC9" s="4">
        <f t="shared" si="8"/>
        <v>355363799.55336487</v>
      </c>
      <c r="AD9" s="43">
        <f>+AC9/AA9</f>
        <v>0.7442355173972921</v>
      </c>
      <c r="AE9" s="34"/>
      <c r="AF9" s="34"/>
      <c r="AG9" s="34"/>
      <c r="AH9" s="2"/>
      <c r="AI9" s="2"/>
    </row>
    <row r="10" spans="1:41" x14ac:dyDescent="0.25">
      <c r="A10" s="5" t="s">
        <v>101</v>
      </c>
      <c r="B10" s="4">
        <v>0</v>
      </c>
      <c r="C10" s="4">
        <v>0</v>
      </c>
      <c r="D10" s="4">
        <v>0</v>
      </c>
      <c r="E10" s="4">
        <f t="shared" si="6"/>
        <v>0</v>
      </c>
      <c r="F10" s="4">
        <v>0</v>
      </c>
      <c r="G10" s="4">
        <v>4211013</v>
      </c>
      <c r="H10" s="4">
        <f t="shared" si="0"/>
        <v>-4211013</v>
      </c>
      <c r="I10" s="4">
        <f>+'202401anual'!E11</f>
        <v>283515.76220065932</v>
      </c>
      <c r="J10" s="4">
        <f>+[1]Resultados2023!$E$175+[1]Resultados2023!$C$175</f>
        <v>36638528.780000001</v>
      </c>
      <c r="K10" s="4">
        <f t="shared" si="1"/>
        <v>-36355013.01779934</v>
      </c>
      <c r="L10" s="4">
        <f>+'202401anual'!F11</f>
        <v>283515.76220065932</v>
      </c>
      <c r="M10" s="4">
        <v>3592200</v>
      </c>
      <c r="N10" s="4">
        <f t="shared" si="2"/>
        <v>-3308684.2377993409</v>
      </c>
      <c r="O10" s="4">
        <f>+'202401anual'!G11</f>
        <v>283515.76220065932</v>
      </c>
      <c r="P10" s="4">
        <v>1967700</v>
      </c>
      <c r="Q10" s="4">
        <f t="shared" si="3"/>
        <v>-1684184.2377993406</v>
      </c>
      <c r="R10" s="4">
        <f>+'202401anual'!H11</f>
        <v>283515.76220065932</v>
      </c>
      <c r="S10" s="4"/>
      <c r="T10" s="4">
        <f t="shared" si="4"/>
        <v>283515.76220065932</v>
      </c>
      <c r="U10" s="4"/>
      <c r="V10" s="4"/>
      <c r="W10" s="4"/>
      <c r="X10" s="4"/>
      <c r="Y10" s="4"/>
      <c r="Z10" s="4"/>
      <c r="AA10" s="4">
        <f t="shared" si="7"/>
        <v>1134063.0488026373</v>
      </c>
      <c r="AB10" s="4">
        <f t="shared" si="7"/>
        <v>46409441.780000001</v>
      </c>
      <c r="AC10" s="4">
        <f t="shared" si="8"/>
        <v>-45275378.731197365</v>
      </c>
      <c r="AD10" s="43">
        <f t="shared" ref="AD10:AD22" si="9">+AC10/AA10</f>
        <v>-39.923158398468118</v>
      </c>
      <c r="AE10" s="34"/>
      <c r="AF10" s="34"/>
      <c r="AG10" s="34"/>
      <c r="AH10" s="2"/>
      <c r="AI10" s="2"/>
    </row>
    <row r="11" spans="1:41" x14ac:dyDescent="0.25">
      <c r="A11" s="26" t="s">
        <v>98</v>
      </c>
      <c r="B11" s="4">
        <v>1744961750</v>
      </c>
      <c r="C11" s="4">
        <v>348992350</v>
      </c>
      <c r="D11" s="4">
        <v>0</v>
      </c>
      <c r="E11" s="4">
        <f t="shared" si="6"/>
        <v>348992350</v>
      </c>
      <c r="F11" s="4">
        <v>348992350</v>
      </c>
      <c r="G11" s="4">
        <v>7315123</v>
      </c>
      <c r="H11" s="4">
        <f t="shared" si="0"/>
        <v>341677227</v>
      </c>
      <c r="I11" s="4">
        <f>+'202401anual'!E13</f>
        <v>2500000000</v>
      </c>
      <c r="J11" s="4">
        <v>6429362</v>
      </c>
      <c r="K11" s="4">
        <f t="shared" si="1"/>
        <v>2493570638</v>
      </c>
      <c r="L11" s="4">
        <f>+'202401anual'!F13</f>
        <v>0</v>
      </c>
      <c r="M11" s="4">
        <v>0</v>
      </c>
      <c r="N11" s="4">
        <f t="shared" si="2"/>
        <v>0</v>
      </c>
      <c r="O11" s="4">
        <f>+'202401anual'!G13</f>
        <v>0</v>
      </c>
      <c r="P11" s="4">
        <v>0</v>
      </c>
      <c r="Q11" s="4">
        <f t="shared" si="3"/>
        <v>0</v>
      </c>
      <c r="R11" s="4">
        <f>+'202401anual'!H13</f>
        <v>0</v>
      </c>
      <c r="S11" s="4">
        <v>0</v>
      </c>
      <c r="T11" s="4">
        <f t="shared" si="4"/>
        <v>0</v>
      </c>
      <c r="U11" s="4"/>
      <c r="V11" s="4"/>
      <c r="W11" s="4"/>
      <c r="X11" s="4"/>
      <c r="Y11" s="4"/>
      <c r="Z11" s="4"/>
      <c r="AA11" s="4">
        <f t="shared" si="7"/>
        <v>3197984700</v>
      </c>
      <c r="AB11" s="4">
        <f t="shared" si="7"/>
        <v>13744485</v>
      </c>
      <c r="AC11" s="4">
        <f t="shared" si="8"/>
        <v>3184240215</v>
      </c>
      <c r="AD11" s="43">
        <f t="shared" si="9"/>
        <v>0.99570214172694449</v>
      </c>
      <c r="AE11" s="34"/>
      <c r="AF11" s="34"/>
      <c r="AG11" s="34"/>
      <c r="AH11" s="2"/>
      <c r="AI11" s="2"/>
    </row>
    <row r="12" spans="1:41" ht="18.75" x14ac:dyDescent="0.3">
      <c r="A12" s="11" t="s">
        <v>2</v>
      </c>
      <c r="B12" s="7">
        <f>SUM(B6:B11)</f>
        <v>4434002006.0472546</v>
      </c>
      <c r="C12" s="7">
        <f t="shared" ref="C12:AC12" si="10">SUM(C6:C11)</f>
        <v>380992350</v>
      </c>
      <c r="D12" s="7">
        <f t="shared" si="10"/>
        <v>35018397.310000002</v>
      </c>
      <c r="E12" s="7">
        <f t="shared" si="10"/>
        <v>345973952.69</v>
      </c>
      <c r="F12" s="7">
        <f>SUM(F6:F11)</f>
        <v>380992350</v>
      </c>
      <c r="G12" s="7">
        <f>SUM(G6:G11)</f>
        <v>33761800</v>
      </c>
      <c r="H12" s="7">
        <f>SUM(H6:H11)</f>
        <v>347230550</v>
      </c>
      <c r="I12" s="7">
        <f t="shared" si="10"/>
        <v>2687952612.3623796</v>
      </c>
      <c r="J12" s="7">
        <f t="shared" si="10"/>
        <v>68350454.280000001</v>
      </c>
      <c r="K12" s="7">
        <f t="shared" si="10"/>
        <v>2619602158.0823798</v>
      </c>
      <c r="L12" s="7">
        <f>SUM(L6:L11)</f>
        <v>194441183.24237967</v>
      </c>
      <c r="M12" s="7">
        <f t="shared" ref="M12:N12" si="11">SUM(M6:M11)</f>
        <v>35419334.489999995</v>
      </c>
      <c r="N12" s="7">
        <f t="shared" si="11"/>
        <v>159021848.75237969</v>
      </c>
      <c r="O12" s="7">
        <f t="shared" si="10"/>
        <v>200929754.12237966</v>
      </c>
      <c r="P12" s="7">
        <f t="shared" si="10"/>
        <v>55384270.009999998</v>
      </c>
      <c r="Q12" s="7">
        <f t="shared" si="10"/>
        <v>145545484.11237967</v>
      </c>
      <c r="R12" s="7">
        <f t="shared" si="10"/>
        <v>207418325.00237966</v>
      </c>
      <c r="S12" s="7">
        <f t="shared" si="10"/>
        <v>0</v>
      </c>
      <c r="T12" s="7">
        <f t="shared" si="10"/>
        <v>207418325.00237966</v>
      </c>
      <c r="U12" s="7">
        <f t="shared" si="10"/>
        <v>0</v>
      </c>
      <c r="V12" s="7">
        <f t="shared" si="10"/>
        <v>0</v>
      </c>
      <c r="W12" s="7">
        <f t="shared" si="10"/>
        <v>0</v>
      </c>
      <c r="X12" s="7">
        <f t="shared" si="10"/>
        <v>0</v>
      </c>
      <c r="Y12" s="7">
        <f t="shared" si="10"/>
        <v>0</v>
      </c>
      <c r="Z12" s="7">
        <f t="shared" si="10"/>
        <v>0</v>
      </c>
      <c r="AA12" s="7">
        <f t="shared" si="10"/>
        <v>4052726574.7295189</v>
      </c>
      <c r="AB12" s="7">
        <f>SUM(AB6:AB11)</f>
        <v>227934256.09</v>
      </c>
      <c r="AC12" s="7">
        <f t="shared" si="10"/>
        <v>3824792318.6395187</v>
      </c>
      <c r="AD12" s="31">
        <f t="shared" si="9"/>
        <v>0.94375780060977521</v>
      </c>
      <c r="AE12" s="34"/>
      <c r="AF12" s="35"/>
      <c r="AG12" s="35"/>
      <c r="AH12" s="2"/>
      <c r="AI12" s="2"/>
    </row>
    <row r="13" spans="1:41" x14ac:dyDescent="0.25">
      <c r="A13" s="5" t="s">
        <v>36</v>
      </c>
      <c r="B13" s="4">
        <v>878588056</v>
      </c>
      <c r="C13" s="4">
        <v>73215671.330134079</v>
      </c>
      <c r="D13" s="4">
        <v>86122604.719999999</v>
      </c>
      <c r="E13" s="4">
        <f t="shared" si="6"/>
        <v>-12906933.38986592</v>
      </c>
      <c r="F13" s="4">
        <f>+'202401anual'!D15</f>
        <v>81283194</v>
      </c>
      <c r="G13" s="4">
        <f>+[2]Resultados2023!$D$9-[2]Resultados2023!$D$24-[2]Resultados2023!$C$24</f>
        <v>81355068.280000001</v>
      </c>
      <c r="H13" s="4">
        <f t="shared" si="0"/>
        <v>-71874.280000001192</v>
      </c>
      <c r="I13" s="4">
        <f>+'202401anual'!E15</f>
        <v>81283194</v>
      </c>
      <c r="J13" s="4">
        <f>+[1]Resultados2023!$E$9-700236</f>
        <v>79053672</v>
      </c>
      <c r="K13" s="4">
        <f t="shared" si="1"/>
        <v>2229522</v>
      </c>
      <c r="L13" s="4">
        <f>+'202401anual'!F15</f>
        <v>81283194</v>
      </c>
      <c r="M13" s="4">
        <f>+[3]Resultados2023!$F$9</f>
        <v>74716769.890000001</v>
      </c>
      <c r="N13" s="4">
        <f t="shared" ref="N13:N19" si="12">+L13-M13</f>
        <v>6566424.1099999994</v>
      </c>
      <c r="O13" s="4">
        <f>+'202401anual'!G15</f>
        <v>81283194</v>
      </c>
      <c r="P13" s="4" t="str">
        <f>+[4]Hoja1!$G$9</f>
        <v>NUEVA EPS</v>
      </c>
      <c r="Q13" s="4" t="e">
        <f t="shared" ref="Q13:Q19" si="13">+O13-P13</f>
        <v>#VALUE!</v>
      </c>
      <c r="R13" s="4">
        <f>+'202401anual'!H15</f>
        <v>81283194</v>
      </c>
      <c r="S13" s="4"/>
      <c r="T13" s="4">
        <f t="shared" ref="T13:T19" si="14">+R13-S13</f>
        <v>81283194</v>
      </c>
      <c r="U13" s="4"/>
      <c r="V13" s="4"/>
      <c r="W13" s="4"/>
      <c r="X13" s="4"/>
      <c r="Y13" s="4"/>
      <c r="Z13" s="4"/>
      <c r="AA13" s="4">
        <f t="shared" ref="AA13:AB19" si="15">+C13+F13+I13+L13+O13+R13</f>
        <v>479631641.33013409</v>
      </c>
      <c r="AB13" s="4" t="e">
        <f t="shared" si="15"/>
        <v>#VALUE!</v>
      </c>
      <c r="AC13" s="4" t="e">
        <f t="shared" ref="AC13:AC19" si="16">+AA13-AB13</f>
        <v>#VALUE!</v>
      </c>
      <c r="AD13" s="43" t="e">
        <f t="shared" si="9"/>
        <v>#VALUE!</v>
      </c>
      <c r="AE13" s="34"/>
      <c r="AF13" s="36"/>
      <c r="AG13" s="36"/>
      <c r="AH13" s="2"/>
      <c r="AI13" s="2"/>
    </row>
    <row r="14" spans="1:41" ht="60" x14ac:dyDescent="0.25">
      <c r="A14" s="21" t="s">
        <v>65</v>
      </c>
      <c r="B14" s="4">
        <v>21060000</v>
      </c>
      <c r="C14" s="4">
        <v>7020000</v>
      </c>
      <c r="D14" s="4">
        <v>0</v>
      </c>
      <c r="E14" s="4">
        <f t="shared" si="6"/>
        <v>7020000</v>
      </c>
      <c r="F14" s="4">
        <f>+'202401anual'!D16</f>
        <v>0</v>
      </c>
      <c r="G14" s="4">
        <v>0</v>
      </c>
      <c r="H14" s="4">
        <f t="shared" si="0"/>
        <v>0</v>
      </c>
      <c r="I14" s="4">
        <f>+'202401anual'!E16</f>
        <v>0</v>
      </c>
      <c r="J14" s="4">
        <v>0</v>
      </c>
      <c r="K14" s="4">
        <f t="shared" si="1"/>
        <v>0</v>
      </c>
      <c r="L14" s="4">
        <f>+'202401anual'!F16</f>
        <v>0</v>
      </c>
      <c r="M14" s="4">
        <f>+[5]EjecucionPptalPasiva!$Q$203</f>
        <v>600000</v>
      </c>
      <c r="N14" s="4">
        <f t="shared" si="12"/>
        <v>-600000</v>
      </c>
      <c r="O14" s="4">
        <f>+'202401anual'!G16</f>
        <v>0</v>
      </c>
      <c r="P14" s="4">
        <v>0</v>
      </c>
      <c r="Q14" s="4">
        <f t="shared" si="13"/>
        <v>0</v>
      </c>
      <c r="R14" s="4">
        <f>+'202401anual'!H16</f>
        <v>0</v>
      </c>
      <c r="S14" s="4">
        <v>0</v>
      </c>
      <c r="T14" s="4">
        <f t="shared" si="14"/>
        <v>0</v>
      </c>
      <c r="U14" s="4"/>
      <c r="V14" s="4"/>
      <c r="W14" s="4"/>
      <c r="X14" s="4"/>
      <c r="Y14" s="4"/>
      <c r="Z14" s="4"/>
      <c r="AA14" s="4">
        <f t="shared" si="15"/>
        <v>7020000</v>
      </c>
      <c r="AB14" s="4">
        <f t="shared" si="15"/>
        <v>600000</v>
      </c>
      <c r="AC14" s="4">
        <f t="shared" si="16"/>
        <v>6420000</v>
      </c>
      <c r="AD14" s="43">
        <f t="shared" si="9"/>
        <v>0.9145299145299145</v>
      </c>
      <c r="AE14" s="34"/>
      <c r="AF14" s="36"/>
      <c r="AG14" s="36"/>
      <c r="AH14" s="2"/>
      <c r="AI14" s="2"/>
    </row>
    <row r="15" spans="1:41" x14ac:dyDescent="0.25">
      <c r="A15" s="5" t="s">
        <v>9</v>
      </c>
      <c r="B15" s="4">
        <f>1981048858-52905201</f>
        <v>1928143657</v>
      </c>
      <c r="C15" s="4">
        <v>27833200</v>
      </c>
      <c r="D15" s="4">
        <v>5039883</v>
      </c>
      <c r="E15" s="4">
        <f t="shared" si="6"/>
        <v>22793317</v>
      </c>
      <c r="F15" s="4">
        <f>+'202401anual'!D17</f>
        <v>20000000</v>
      </c>
      <c r="G15" s="4">
        <v>8480617</v>
      </c>
      <c r="H15" s="4">
        <f t="shared" si="0"/>
        <v>11519383</v>
      </c>
      <c r="I15" s="4">
        <f>+'202401anual'!E17</f>
        <v>12000000</v>
      </c>
      <c r="J15" s="4" t="e">
        <f>+#REF!</f>
        <v>#REF!</v>
      </c>
      <c r="K15" s="4" t="e">
        <f t="shared" si="1"/>
        <v>#REF!</v>
      </c>
      <c r="L15" s="4">
        <f>+'202401anual'!F17</f>
        <v>16000000</v>
      </c>
      <c r="M15" s="4" t="e">
        <f>+#REF!</f>
        <v>#REF!</v>
      </c>
      <c r="N15" s="4" t="e">
        <f t="shared" si="12"/>
        <v>#REF!</v>
      </c>
      <c r="O15" s="4">
        <f>+'202401anual'!G17</f>
        <v>28000000</v>
      </c>
      <c r="P15" s="4" t="e">
        <f>+#REF!</f>
        <v>#REF!</v>
      </c>
      <c r="Q15" s="4" t="e">
        <f t="shared" si="13"/>
        <v>#REF!</v>
      </c>
      <c r="R15" s="4">
        <f>+'202401anual'!H17</f>
        <v>16000000</v>
      </c>
      <c r="S15" s="4" t="e">
        <f>+#REF!</f>
        <v>#REF!</v>
      </c>
      <c r="T15" s="4" t="e">
        <f t="shared" si="14"/>
        <v>#REF!</v>
      </c>
      <c r="U15" s="4"/>
      <c r="V15" s="4"/>
      <c r="W15" s="4"/>
      <c r="X15" s="4"/>
      <c r="Y15" s="4"/>
      <c r="Z15" s="4"/>
      <c r="AA15" s="4">
        <f t="shared" si="15"/>
        <v>119833200</v>
      </c>
      <c r="AB15" s="4" t="e">
        <f t="shared" si="15"/>
        <v>#REF!</v>
      </c>
      <c r="AC15" s="4" t="e">
        <f t="shared" si="16"/>
        <v>#REF!</v>
      </c>
      <c r="AD15" s="43" t="e">
        <f t="shared" si="9"/>
        <v>#REF!</v>
      </c>
      <c r="AE15" s="34"/>
      <c r="AF15" s="36"/>
      <c r="AG15" s="36"/>
      <c r="AH15" s="2"/>
      <c r="AI15" s="37"/>
      <c r="AJ15" s="20"/>
      <c r="AK15" s="20"/>
      <c r="AL15" s="20"/>
      <c r="AM15" s="20"/>
      <c r="AN15" s="20"/>
      <c r="AO15" s="20"/>
    </row>
    <row r="16" spans="1:41" x14ac:dyDescent="0.25">
      <c r="A16" s="5" t="s">
        <v>8</v>
      </c>
      <c r="B16" s="4">
        <f>2106159750</f>
        <v>2106159750</v>
      </c>
      <c r="C16" s="4">
        <v>365592350</v>
      </c>
      <c r="D16" s="4">
        <v>125855</v>
      </c>
      <c r="E16" s="4">
        <f t="shared" si="6"/>
        <v>365466495</v>
      </c>
      <c r="F16" s="4">
        <f>+'202401anual'!D27</f>
        <v>34220000</v>
      </c>
      <c r="G16" s="4">
        <f>125822+31200000+46400000</f>
        <v>77725822</v>
      </c>
      <c r="H16" s="4">
        <f t="shared" si="0"/>
        <v>-43505822</v>
      </c>
      <c r="I16" s="4">
        <f>+'202401anual'!E27</f>
        <v>34220000</v>
      </c>
      <c r="J16" s="4" t="e">
        <f>+#REF!</f>
        <v>#REF!</v>
      </c>
      <c r="K16" s="4" t="e">
        <f t="shared" si="1"/>
        <v>#REF!</v>
      </c>
      <c r="L16" s="4">
        <f>+'202401anual'!F27</f>
        <v>4220000</v>
      </c>
      <c r="M16" s="4" t="e">
        <f>+#REF!</f>
        <v>#REF!</v>
      </c>
      <c r="N16" s="4" t="e">
        <f t="shared" si="12"/>
        <v>#REF!</v>
      </c>
      <c r="O16" s="4">
        <f>+'202401anual'!G27</f>
        <v>4220000</v>
      </c>
      <c r="P16" s="4" t="e">
        <f>+#REF!</f>
        <v>#REF!</v>
      </c>
      <c r="Q16" s="4" t="e">
        <f t="shared" si="13"/>
        <v>#REF!</v>
      </c>
      <c r="R16" s="4">
        <f>+'202401anual'!H27</f>
        <v>4220000</v>
      </c>
      <c r="S16" s="4" t="e">
        <f>+#REF!</f>
        <v>#REF!</v>
      </c>
      <c r="T16" s="4" t="e">
        <f t="shared" si="14"/>
        <v>#REF!</v>
      </c>
      <c r="U16" s="4"/>
      <c r="V16" s="4"/>
      <c r="W16" s="4"/>
      <c r="X16" s="4"/>
      <c r="Y16" s="4"/>
      <c r="Z16" s="4"/>
      <c r="AA16" s="4">
        <f t="shared" si="15"/>
        <v>446692350</v>
      </c>
      <c r="AB16" s="4" t="e">
        <f t="shared" si="15"/>
        <v>#REF!</v>
      </c>
      <c r="AC16" s="4" t="e">
        <f t="shared" si="16"/>
        <v>#REF!</v>
      </c>
      <c r="AD16" s="43" t="e">
        <f t="shared" si="9"/>
        <v>#REF!</v>
      </c>
      <c r="AE16" s="34"/>
      <c r="AF16" s="36"/>
      <c r="AG16" s="2"/>
      <c r="AI16" s="37"/>
      <c r="AJ16" s="20"/>
      <c r="AK16" s="20"/>
      <c r="AL16" s="20"/>
      <c r="AM16" s="20"/>
      <c r="AN16" s="20"/>
      <c r="AO16" s="20"/>
    </row>
    <row r="17" spans="1:41" x14ac:dyDescent="0.25">
      <c r="A17" s="5" t="s">
        <v>10</v>
      </c>
      <c r="B17" s="4">
        <f>360000000+14000000</f>
        <v>374000000</v>
      </c>
      <c r="C17" s="4">
        <v>0</v>
      </c>
      <c r="D17" s="4">
        <v>0</v>
      </c>
      <c r="E17" s="4">
        <f t="shared" si="6"/>
        <v>0</v>
      </c>
      <c r="F17" s="4">
        <f>+'202401anual'!D33</f>
        <v>0</v>
      </c>
      <c r="G17" s="4">
        <v>0</v>
      </c>
      <c r="H17" s="4">
        <f t="shared" si="0"/>
        <v>0</v>
      </c>
      <c r="I17" s="4">
        <f>+'202401anual'!E33</f>
        <v>0</v>
      </c>
      <c r="J17" s="4">
        <v>0</v>
      </c>
      <c r="K17" s="4">
        <f t="shared" si="1"/>
        <v>0</v>
      </c>
      <c r="L17" s="4">
        <f>+'202401anual'!F33</f>
        <v>0</v>
      </c>
      <c r="M17" s="4">
        <v>0</v>
      </c>
      <c r="N17" s="4">
        <f t="shared" si="12"/>
        <v>0</v>
      </c>
      <c r="O17" s="4">
        <f>+'202401anual'!G33</f>
        <v>0</v>
      </c>
      <c r="P17" s="4">
        <v>0</v>
      </c>
      <c r="Q17" s="4">
        <f t="shared" si="13"/>
        <v>0</v>
      </c>
      <c r="R17" s="4">
        <f>+'202401anual'!H33</f>
        <v>0</v>
      </c>
      <c r="S17" s="4">
        <v>0</v>
      </c>
      <c r="T17" s="4">
        <f t="shared" si="14"/>
        <v>0</v>
      </c>
      <c r="U17" s="4"/>
      <c r="V17" s="4"/>
      <c r="W17" s="4"/>
      <c r="X17" s="4"/>
      <c r="Y17" s="4"/>
      <c r="Z17" s="4"/>
      <c r="AA17" s="4">
        <f t="shared" si="15"/>
        <v>0</v>
      </c>
      <c r="AB17" s="4">
        <f t="shared" si="15"/>
        <v>0</v>
      </c>
      <c r="AC17" s="4">
        <f t="shared" si="16"/>
        <v>0</v>
      </c>
      <c r="AD17" s="43">
        <v>0</v>
      </c>
      <c r="AE17" s="34"/>
      <c r="AF17" s="36"/>
      <c r="AG17" s="36"/>
      <c r="AH17" s="2"/>
      <c r="AI17" s="37"/>
      <c r="AJ17" s="20"/>
      <c r="AK17" s="20"/>
      <c r="AL17" s="20"/>
      <c r="AM17" s="20"/>
      <c r="AN17" s="20"/>
      <c r="AO17" s="20"/>
    </row>
    <row r="18" spans="1:41" x14ac:dyDescent="0.25">
      <c r="A18" s="5" t="s">
        <v>11</v>
      </c>
      <c r="B18" s="4">
        <f>744342859-14000000</f>
        <v>730342859</v>
      </c>
      <c r="C18" s="4">
        <v>48866667</v>
      </c>
      <c r="D18" s="4">
        <v>0</v>
      </c>
      <c r="E18" s="4">
        <f t="shared" si="6"/>
        <v>48866667</v>
      </c>
      <c r="F18" s="4">
        <f>+'202401anual'!D35</f>
        <v>0</v>
      </c>
      <c r="G18" s="4">
        <v>0</v>
      </c>
      <c r="H18" s="4">
        <f t="shared" si="0"/>
        <v>0</v>
      </c>
      <c r="I18" s="4">
        <f>+'202401anual'!E35</f>
        <v>0</v>
      </c>
      <c r="J18" s="4" t="e">
        <f>+#REF!</f>
        <v>#REF!</v>
      </c>
      <c r="K18" s="4" t="e">
        <f t="shared" si="1"/>
        <v>#REF!</v>
      </c>
      <c r="L18" s="4">
        <f>+'202401anual'!F35</f>
        <v>0</v>
      </c>
      <c r="M18" s="4" t="e">
        <f>+#REF!</f>
        <v>#REF!</v>
      </c>
      <c r="N18" s="4" t="e">
        <f t="shared" si="12"/>
        <v>#REF!</v>
      </c>
      <c r="O18" s="4">
        <f>+'202401anual'!G35</f>
        <v>0</v>
      </c>
      <c r="P18" s="4" t="e">
        <f>+#REF!</f>
        <v>#REF!</v>
      </c>
      <c r="Q18" s="4" t="e">
        <f t="shared" si="13"/>
        <v>#REF!</v>
      </c>
      <c r="R18" s="4">
        <f>+'202401anual'!H35</f>
        <v>0</v>
      </c>
      <c r="S18" s="4" t="e">
        <f>+#REF!</f>
        <v>#REF!</v>
      </c>
      <c r="T18" s="4" t="e">
        <f t="shared" si="14"/>
        <v>#REF!</v>
      </c>
      <c r="U18" s="4"/>
      <c r="V18" s="4"/>
      <c r="W18" s="4"/>
      <c r="X18" s="4"/>
      <c r="Y18" s="4"/>
      <c r="Z18" s="4"/>
      <c r="AA18" s="4">
        <f t="shared" si="15"/>
        <v>48866667</v>
      </c>
      <c r="AB18" s="4" t="e">
        <f t="shared" si="15"/>
        <v>#REF!</v>
      </c>
      <c r="AC18" s="4" t="e">
        <f t="shared" si="16"/>
        <v>#REF!</v>
      </c>
      <c r="AD18" s="43" t="e">
        <f t="shared" si="9"/>
        <v>#REF!</v>
      </c>
      <c r="AE18" s="34"/>
      <c r="AF18" s="36"/>
      <c r="AG18" s="36"/>
      <c r="AH18" s="2"/>
      <c r="AI18" s="37"/>
      <c r="AJ18" s="20"/>
      <c r="AK18" s="20"/>
      <c r="AL18" s="20"/>
      <c r="AM18" s="20"/>
      <c r="AN18" s="20"/>
      <c r="AO18" s="20"/>
    </row>
    <row r="19" spans="1:41" x14ac:dyDescent="0.25">
      <c r="A19" s="5" t="s">
        <v>12</v>
      </c>
      <c r="B19" s="4">
        <f>389605000+1000000</f>
        <v>390605000</v>
      </c>
      <c r="C19" s="4">
        <v>6650000</v>
      </c>
      <c r="D19" s="4">
        <v>1781552</v>
      </c>
      <c r="E19" s="4">
        <f t="shared" si="6"/>
        <v>4868448</v>
      </c>
      <c r="F19" s="4">
        <f>+'202401anual'!D36</f>
        <v>46765000</v>
      </c>
      <c r="G19" s="4">
        <f>1005925+499333+3000000</f>
        <v>4505258</v>
      </c>
      <c r="H19" s="4">
        <f t="shared" si="0"/>
        <v>42259742</v>
      </c>
      <c r="I19" s="4">
        <f>+'202401anual'!E36</f>
        <v>56765000</v>
      </c>
      <c r="J19" s="4" t="e">
        <f>+#REF!</f>
        <v>#REF!</v>
      </c>
      <c r="K19" s="4" t="e">
        <f t="shared" si="1"/>
        <v>#REF!</v>
      </c>
      <c r="L19" s="4">
        <f>+'202401anual'!F36</f>
        <v>79765000</v>
      </c>
      <c r="M19" s="4" t="e">
        <f>+#REF!</f>
        <v>#REF!</v>
      </c>
      <c r="N19" s="4" t="e">
        <f t="shared" si="12"/>
        <v>#REF!</v>
      </c>
      <c r="O19" s="4">
        <f>+'202401anual'!G36</f>
        <v>65765000</v>
      </c>
      <c r="P19" s="4" t="e">
        <f>+#REF!</f>
        <v>#REF!</v>
      </c>
      <c r="Q19" s="4" t="e">
        <f t="shared" si="13"/>
        <v>#REF!</v>
      </c>
      <c r="R19" s="4">
        <f>+'202401anual'!H36</f>
        <v>40765000</v>
      </c>
      <c r="S19" s="4" t="e">
        <f>+#REF!</f>
        <v>#REF!</v>
      </c>
      <c r="T19" s="4" t="e">
        <f t="shared" si="14"/>
        <v>#REF!</v>
      </c>
      <c r="U19" s="4"/>
      <c r="V19" s="4"/>
      <c r="W19" s="4"/>
      <c r="X19" s="4"/>
      <c r="Y19" s="4"/>
      <c r="Z19" s="4"/>
      <c r="AA19" s="4">
        <f t="shared" si="15"/>
        <v>296475000</v>
      </c>
      <c r="AB19" s="4" t="e">
        <f t="shared" si="15"/>
        <v>#REF!</v>
      </c>
      <c r="AC19" s="4" t="e">
        <f t="shared" si="16"/>
        <v>#REF!</v>
      </c>
      <c r="AD19" s="43" t="e">
        <f t="shared" si="9"/>
        <v>#REF!</v>
      </c>
      <c r="AE19" s="34"/>
      <c r="AF19" s="36"/>
      <c r="AG19" s="36"/>
      <c r="AH19" s="2"/>
      <c r="AI19" s="37"/>
      <c r="AJ19" s="20"/>
      <c r="AK19" s="20"/>
      <c r="AL19" s="20"/>
      <c r="AM19" s="20"/>
      <c r="AN19" s="20"/>
      <c r="AO19" s="20"/>
    </row>
    <row r="20" spans="1:41" x14ac:dyDescent="0.25">
      <c r="A20" s="12" t="s">
        <v>13</v>
      </c>
      <c r="B20" s="8">
        <f>SUM(B13:B19)</f>
        <v>6428899322</v>
      </c>
      <c r="C20" s="8">
        <f>SUM(C13:C19)</f>
        <v>529177888.33013409</v>
      </c>
      <c r="D20" s="8">
        <f t="shared" ref="D20:AC20" si="17">SUM(D13:D19)</f>
        <v>93069894.719999999</v>
      </c>
      <c r="E20" s="8">
        <f t="shared" si="17"/>
        <v>436107993.61013407</v>
      </c>
      <c r="F20" s="8">
        <f t="shared" si="17"/>
        <v>182268194</v>
      </c>
      <c r="G20" s="8">
        <f t="shared" si="17"/>
        <v>172066765.28</v>
      </c>
      <c r="H20" s="8">
        <f t="shared" si="17"/>
        <v>10201428.719999999</v>
      </c>
      <c r="I20" s="8">
        <f t="shared" si="17"/>
        <v>184268194</v>
      </c>
      <c r="J20" s="8" t="e">
        <f t="shared" si="17"/>
        <v>#REF!</v>
      </c>
      <c r="K20" s="8" t="e">
        <f t="shared" si="17"/>
        <v>#REF!</v>
      </c>
      <c r="L20" s="8">
        <f t="shared" si="17"/>
        <v>181268194</v>
      </c>
      <c r="M20" s="8" t="e">
        <f t="shared" si="17"/>
        <v>#REF!</v>
      </c>
      <c r="N20" s="8" t="e">
        <f t="shared" si="17"/>
        <v>#REF!</v>
      </c>
      <c r="O20" s="8">
        <f t="shared" si="17"/>
        <v>179268194</v>
      </c>
      <c r="P20" s="8" t="e">
        <f t="shared" si="17"/>
        <v>#REF!</v>
      </c>
      <c r="Q20" s="8" t="e">
        <f t="shared" si="17"/>
        <v>#VALUE!</v>
      </c>
      <c r="R20" s="8">
        <f>+'202401anual'!H44</f>
        <v>142268194</v>
      </c>
      <c r="S20" s="8" t="e">
        <f t="shared" ref="S20:T20" si="18">SUM(S13:S19)</f>
        <v>#REF!</v>
      </c>
      <c r="T20" s="8" t="e">
        <f t="shared" si="18"/>
        <v>#REF!</v>
      </c>
      <c r="U20" s="8">
        <f t="shared" si="17"/>
        <v>0</v>
      </c>
      <c r="V20" s="8">
        <f t="shared" si="17"/>
        <v>0</v>
      </c>
      <c r="W20" s="8">
        <f t="shared" si="17"/>
        <v>0</v>
      </c>
      <c r="X20" s="8">
        <f t="shared" si="17"/>
        <v>0</v>
      </c>
      <c r="Y20" s="8">
        <f t="shared" si="17"/>
        <v>0</v>
      </c>
      <c r="Z20" s="8">
        <f t="shared" si="17"/>
        <v>0</v>
      </c>
      <c r="AA20" s="8">
        <f t="shared" si="17"/>
        <v>1398518858.3301342</v>
      </c>
      <c r="AB20" s="8" t="e">
        <f t="shared" si="17"/>
        <v>#VALUE!</v>
      </c>
      <c r="AC20" s="8" t="e">
        <f t="shared" si="17"/>
        <v>#VALUE!</v>
      </c>
      <c r="AD20" s="31" t="e">
        <f t="shared" si="9"/>
        <v>#VALUE!</v>
      </c>
      <c r="AE20" s="34"/>
      <c r="AF20" s="35"/>
      <c r="AG20" s="35"/>
      <c r="AH20" s="2"/>
      <c r="AJ20" s="20"/>
      <c r="AK20" s="20"/>
      <c r="AL20" s="20"/>
      <c r="AM20" s="20"/>
    </row>
    <row r="21" spans="1:41" x14ac:dyDescent="0.25">
      <c r="A21" s="5" t="s">
        <v>35</v>
      </c>
      <c r="B21" s="4">
        <v>40627002</v>
      </c>
      <c r="C21" s="27">
        <v>3385583.5765486476</v>
      </c>
      <c r="D21" s="4">
        <v>3565471</v>
      </c>
      <c r="E21" s="4">
        <f t="shared" si="6"/>
        <v>-179887.4234513524</v>
      </c>
      <c r="F21" s="4">
        <f>+'202401anual'!D45</f>
        <v>3754480.2691064808</v>
      </c>
      <c r="G21" s="4">
        <f>+[2]Resultados2023!$D$25</f>
        <v>3491616</v>
      </c>
      <c r="H21" s="4">
        <f t="shared" ref="H21:H22" si="19">+F21-G21</f>
        <v>262864.26910648076</v>
      </c>
      <c r="I21" s="4">
        <f>+'202401anual'!E45</f>
        <v>3754480.2691064808</v>
      </c>
      <c r="J21" s="4">
        <f>+[1]Resultados2023!$E$25</f>
        <v>3505299</v>
      </c>
      <c r="K21" s="4">
        <f t="shared" si="1"/>
        <v>249181.26910648076</v>
      </c>
      <c r="L21" s="4">
        <f>+'202401anual'!F45</f>
        <v>3754480.2691064808</v>
      </c>
      <c r="M21" s="4">
        <f>+[3]Resultados2023!$F$25</f>
        <v>3643137</v>
      </c>
      <c r="N21" s="4">
        <f t="shared" ref="N21:N22" si="20">+L21-M21</f>
        <v>111343.26910648076</v>
      </c>
      <c r="O21" s="4">
        <f>+'202401anual'!G45</f>
        <v>3754480.2691064808</v>
      </c>
      <c r="P21" s="4" t="str">
        <f>+[4]Hoja1!$G$25</f>
        <v>NUEVA EPS</v>
      </c>
      <c r="Q21" s="4" t="e">
        <f t="shared" ref="Q21:Q22" si="21">+O21-P21</f>
        <v>#VALUE!</v>
      </c>
      <c r="R21" s="4">
        <f>+'202401anual'!H45</f>
        <v>3754480.2691064808</v>
      </c>
      <c r="S21" s="4"/>
      <c r="T21" s="4">
        <f t="shared" ref="T21:T22" si="22">+R21-S21</f>
        <v>3754480.2691064808</v>
      </c>
      <c r="U21" s="4"/>
      <c r="V21" s="4"/>
      <c r="W21" s="4"/>
      <c r="X21" s="4"/>
      <c r="Y21" s="4"/>
      <c r="Z21" s="4"/>
      <c r="AA21" s="4">
        <f t="shared" ref="AA21:AB22" si="23">+C21+F21+I21+L21+O21+R21</f>
        <v>22157984.922081053</v>
      </c>
      <c r="AB21" s="4" t="e">
        <f t="shared" si="23"/>
        <v>#VALUE!</v>
      </c>
      <c r="AC21" s="4" t="e">
        <f t="shared" ref="AC21:AC22" si="24">+AA21-AB21</f>
        <v>#VALUE!</v>
      </c>
      <c r="AD21" s="43" t="e">
        <f t="shared" si="9"/>
        <v>#VALUE!</v>
      </c>
      <c r="AE21" s="34"/>
      <c r="AF21" s="38"/>
      <c r="AG21" s="38"/>
      <c r="AH21" s="2"/>
      <c r="AJ21" s="20"/>
      <c r="AK21" s="20"/>
      <c r="AL21" s="20"/>
      <c r="AM21" s="20"/>
    </row>
    <row r="22" spans="1:41" x14ac:dyDescent="0.25">
      <c r="A22" s="5" t="s">
        <v>14</v>
      </c>
      <c r="B22" s="4">
        <v>17458000</v>
      </c>
      <c r="C22" s="4">
        <v>3250000</v>
      </c>
      <c r="D22" s="4">
        <v>31735</v>
      </c>
      <c r="E22" s="4">
        <f t="shared" si="6"/>
        <v>3218265</v>
      </c>
      <c r="F22" s="4">
        <f>+'202401anual'!D46</f>
        <v>50000000</v>
      </c>
      <c r="G22" s="4">
        <v>31735</v>
      </c>
      <c r="H22" s="4">
        <f t="shared" si="19"/>
        <v>49968265</v>
      </c>
      <c r="I22" s="4">
        <f>+'202401anual'!E46</f>
        <v>20000000</v>
      </c>
      <c r="J22" s="4" t="e">
        <f>+#REF!</f>
        <v>#REF!</v>
      </c>
      <c r="K22" s="4" t="e">
        <f t="shared" si="1"/>
        <v>#REF!</v>
      </c>
      <c r="L22" s="4">
        <f>+'202401anual'!F46</f>
        <v>20000000</v>
      </c>
      <c r="M22" s="4">
        <v>31735</v>
      </c>
      <c r="N22" s="4">
        <f t="shared" si="20"/>
        <v>19968265</v>
      </c>
      <c r="O22" s="4">
        <f>+'202401anual'!G46</f>
        <v>5000000</v>
      </c>
      <c r="P22" s="4">
        <v>31735</v>
      </c>
      <c r="Q22" s="4">
        <f t="shared" si="21"/>
        <v>4968265</v>
      </c>
      <c r="R22" s="4">
        <f>+'202401anual'!H46</f>
        <v>0</v>
      </c>
      <c r="S22" s="4"/>
      <c r="T22" s="4">
        <f t="shared" si="22"/>
        <v>0</v>
      </c>
      <c r="U22" s="4"/>
      <c r="V22" s="4"/>
      <c r="W22" s="4"/>
      <c r="X22" s="4"/>
      <c r="Y22" s="4"/>
      <c r="Z22" s="4"/>
      <c r="AA22" s="4">
        <f t="shared" si="23"/>
        <v>98250000</v>
      </c>
      <c r="AB22" s="4" t="e">
        <f t="shared" si="23"/>
        <v>#REF!</v>
      </c>
      <c r="AC22" s="4" t="e">
        <f t="shared" si="24"/>
        <v>#REF!</v>
      </c>
      <c r="AD22" s="43" t="e">
        <f t="shared" si="9"/>
        <v>#REF!</v>
      </c>
      <c r="AE22" s="34"/>
      <c r="AF22" s="38"/>
      <c r="AG22" s="38"/>
      <c r="AH22" s="2"/>
      <c r="AJ22" s="20"/>
      <c r="AK22" s="20"/>
      <c r="AL22" s="20"/>
      <c r="AM22" s="20"/>
    </row>
    <row r="23" spans="1:41" x14ac:dyDescent="0.25">
      <c r="A23" s="12" t="s">
        <v>15</v>
      </c>
      <c r="B23" s="8">
        <f>SUM(B21:B22)</f>
        <v>58085002</v>
      </c>
      <c r="C23" s="8">
        <f>SUM(C21:C22)</f>
        <v>6635583.5765486471</v>
      </c>
      <c r="D23" s="8">
        <f t="shared" ref="D23:AC23" si="25">SUM(D21:D22)</f>
        <v>3597206</v>
      </c>
      <c r="E23" s="8">
        <f t="shared" si="25"/>
        <v>3038377.5765486476</v>
      </c>
      <c r="F23" s="8">
        <f t="shared" si="25"/>
        <v>53754480.269106477</v>
      </c>
      <c r="G23" s="8">
        <f t="shared" si="25"/>
        <v>3523351</v>
      </c>
      <c r="H23" s="8">
        <f t="shared" si="25"/>
        <v>50231129.269106477</v>
      </c>
      <c r="I23" s="8">
        <f t="shared" si="25"/>
        <v>23754480.269106481</v>
      </c>
      <c r="J23" s="8" t="e">
        <f t="shared" si="25"/>
        <v>#REF!</v>
      </c>
      <c r="K23" s="8" t="e">
        <f t="shared" si="25"/>
        <v>#REF!</v>
      </c>
      <c r="L23" s="8">
        <f t="shared" si="25"/>
        <v>23754480.269106481</v>
      </c>
      <c r="M23" s="8">
        <f t="shared" si="25"/>
        <v>3674872</v>
      </c>
      <c r="N23" s="8">
        <f t="shared" si="25"/>
        <v>20079608.269106481</v>
      </c>
      <c r="O23" s="8">
        <f t="shared" si="25"/>
        <v>8754480.2691064812</v>
      </c>
      <c r="P23" s="8">
        <f t="shared" si="25"/>
        <v>31735</v>
      </c>
      <c r="Q23" s="8" t="e">
        <f t="shared" si="25"/>
        <v>#VALUE!</v>
      </c>
      <c r="R23" s="8">
        <f>+'202401anual'!H47</f>
        <v>3754480.2691064808</v>
      </c>
      <c r="S23" s="8">
        <f t="shared" si="25"/>
        <v>0</v>
      </c>
      <c r="T23" s="8">
        <f t="shared" si="25"/>
        <v>3754480.2691064808</v>
      </c>
      <c r="U23" s="8">
        <f t="shared" si="25"/>
        <v>0</v>
      </c>
      <c r="V23" s="8">
        <f t="shared" si="25"/>
        <v>0</v>
      </c>
      <c r="W23" s="8">
        <f t="shared" si="25"/>
        <v>0</v>
      </c>
      <c r="X23" s="8">
        <f t="shared" si="25"/>
        <v>0</v>
      </c>
      <c r="Y23" s="8">
        <f t="shared" si="25"/>
        <v>0</v>
      </c>
      <c r="Z23" s="8">
        <f t="shared" si="25"/>
        <v>0</v>
      </c>
      <c r="AA23" s="8">
        <f t="shared" si="25"/>
        <v>120407984.92208105</v>
      </c>
      <c r="AB23" s="8" t="e">
        <f t="shared" si="25"/>
        <v>#VALUE!</v>
      </c>
      <c r="AC23" s="8" t="e">
        <f t="shared" si="25"/>
        <v>#VALUE!</v>
      </c>
      <c r="AD23" s="31" t="e">
        <f>+AC23/AA23</f>
        <v>#VALUE!</v>
      </c>
      <c r="AE23" s="34"/>
      <c r="AF23" s="36"/>
      <c r="AG23" s="36"/>
      <c r="AH23" s="2"/>
      <c r="AJ23" s="20"/>
      <c r="AK23" s="20"/>
      <c r="AL23" s="20"/>
      <c r="AM23" s="20"/>
    </row>
    <row r="24" spans="1:41" x14ac:dyDescent="0.25">
      <c r="A24" s="12" t="s">
        <v>1</v>
      </c>
      <c r="B24" s="8">
        <f>+B23+B20</f>
        <v>6486984324</v>
      </c>
      <c r="C24" s="8">
        <f>+C23+C20</f>
        <v>535813471.90668273</v>
      </c>
      <c r="D24" s="8">
        <f t="shared" ref="D24:AC24" si="26">+D23+D20</f>
        <v>96667100.719999999</v>
      </c>
      <c r="E24" s="8">
        <f t="shared" si="26"/>
        <v>439146371.1866827</v>
      </c>
      <c r="F24" s="8">
        <f t="shared" si="26"/>
        <v>236022674.26910648</v>
      </c>
      <c r="G24" s="8">
        <f t="shared" si="26"/>
        <v>175590116.28</v>
      </c>
      <c r="H24" s="8">
        <f t="shared" si="26"/>
        <v>60432557.989106476</v>
      </c>
      <c r="I24" s="8">
        <f t="shared" si="26"/>
        <v>208022674.26910648</v>
      </c>
      <c r="J24" s="8" t="e">
        <f t="shared" si="26"/>
        <v>#REF!</v>
      </c>
      <c r="K24" s="8" t="e">
        <f t="shared" si="26"/>
        <v>#REF!</v>
      </c>
      <c r="L24" s="8">
        <f t="shared" si="26"/>
        <v>205022674.26910648</v>
      </c>
      <c r="M24" s="8" t="e">
        <f t="shared" si="26"/>
        <v>#REF!</v>
      </c>
      <c r="N24" s="8" t="e">
        <f t="shared" si="26"/>
        <v>#REF!</v>
      </c>
      <c r="O24" s="8">
        <f t="shared" si="26"/>
        <v>188022674.26910648</v>
      </c>
      <c r="P24" s="8" t="e">
        <f t="shared" si="26"/>
        <v>#REF!</v>
      </c>
      <c r="Q24" s="8" t="e">
        <f t="shared" si="26"/>
        <v>#VALUE!</v>
      </c>
      <c r="R24" s="8">
        <f>+'202401anual'!H48</f>
        <v>146022674.26910648</v>
      </c>
      <c r="S24" s="8" t="e">
        <f t="shared" si="26"/>
        <v>#REF!</v>
      </c>
      <c r="T24" s="8" t="e">
        <f t="shared" si="26"/>
        <v>#REF!</v>
      </c>
      <c r="U24" s="8">
        <f t="shared" si="26"/>
        <v>0</v>
      </c>
      <c r="V24" s="8">
        <f t="shared" si="26"/>
        <v>0</v>
      </c>
      <c r="W24" s="8">
        <f t="shared" si="26"/>
        <v>0</v>
      </c>
      <c r="X24" s="8">
        <f t="shared" si="26"/>
        <v>0</v>
      </c>
      <c r="Y24" s="8">
        <f t="shared" si="26"/>
        <v>0</v>
      </c>
      <c r="Z24" s="8">
        <f t="shared" si="26"/>
        <v>0</v>
      </c>
      <c r="AA24" s="8">
        <f t="shared" si="26"/>
        <v>1518926843.2522151</v>
      </c>
      <c r="AB24" s="8" t="e">
        <f t="shared" si="26"/>
        <v>#VALUE!</v>
      </c>
      <c r="AC24" s="8" t="e">
        <f t="shared" si="26"/>
        <v>#VALUE!</v>
      </c>
      <c r="AD24" s="31" t="e">
        <f>+AC24/AA24</f>
        <v>#VALUE!</v>
      </c>
      <c r="AE24" s="34">
        <f>+H24/F24</f>
        <v>0.25604556077609286</v>
      </c>
      <c r="AF24" s="35" t="e">
        <f>+Q24/O24*100</f>
        <v>#VALUE!</v>
      </c>
      <c r="AG24" s="35"/>
      <c r="AH24" s="2"/>
      <c r="AI24" s="2"/>
      <c r="AJ24" s="20"/>
      <c r="AK24" s="20"/>
      <c r="AL24" s="20"/>
      <c r="AM24" s="20"/>
    </row>
    <row r="25" spans="1:41" x14ac:dyDescent="0.25">
      <c r="A25" s="22" t="s">
        <v>58</v>
      </c>
      <c r="B25" s="4">
        <v>1516052727</v>
      </c>
      <c r="C25" s="4">
        <v>126337727.3946867</v>
      </c>
      <c r="D25" s="4">
        <v>96267509.640000001</v>
      </c>
      <c r="E25" s="4">
        <f t="shared" ref="E25:E86" si="27">+C25-D25</f>
        <v>30070217.754686698</v>
      </c>
      <c r="F25" s="4">
        <f>+'202401anual'!D49</f>
        <v>112349141.15499662</v>
      </c>
      <c r="G25" s="4">
        <f>+[2]Resultados2023!$D$39-[2]Resultados2023!$D$55-[2]Resultados2023!$C$55</f>
        <v>89823865.359999999</v>
      </c>
      <c r="H25" s="4">
        <f t="shared" ref="H25:H86" si="28">+F25-G25</f>
        <v>22525275.794996619</v>
      </c>
      <c r="I25" s="4">
        <f>+'202401anual'!E49</f>
        <v>112349141.15499662</v>
      </c>
      <c r="J25" s="4">
        <f>+[1]Resultados2023!$E$39-2640011</f>
        <v>96979851.420000002</v>
      </c>
      <c r="K25" s="4">
        <f t="shared" ref="K25:K33" si="29">+I25-J25</f>
        <v>15369289.734996617</v>
      </c>
      <c r="L25" s="4">
        <f>+'202401anual'!F49</f>
        <v>112349141.15499662</v>
      </c>
      <c r="M25" s="4">
        <f>+[3]Resultados2023!$F$39</f>
        <v>106508725.89</v>
      </c>
      <c r="N25" s="4">
        <f t="shared" ref="N25:N33" si="30">+L25-M25</f>
        <v>5840415.264996618</v>
      </c>
      <c r="O25" s="4">
        <f>+'202401anual'!G49</f>
        <v>112349141.15499662</v>
      </c>
      <c r="P25" s="4" t="str">
        <f>+[4]Hoja1!$G$39</f>
        <v>NUEVA EPS</v>
      </c>
      <c r="Q25" s="4" t="e">
        <f t="shared" ref="Q25:Q33" si="31">+O25-P25</f>
        <v>#VALUE!</v>
      </c>
      <c r="R25" s="4">
        <f>+'202401anual'!H49</f>
        <v>112349141.15499662</v>
      </c>
      <c r="S25" s="4"/>
      <c r="T25" s="4">
        <f t="shared" ref="T25:T33" si="32">+R25-S25</f>
        <v>112349141.15499662</v>
      </c>
      <c r="U25" s="4"/>
      <c r="V25" s="4"/>
      <c r="W25" s="4"/>
      <c r="X25" s="4"/>
      <c r="Y25" s="4"/>
      <c r="Z25" s="4"/>
      <c r="AA25" s="4">
        <f t="shared" ref="AA25:AB33" si="33">+C25+F25+I25+L25+O25+R25</f>
        <v>688083433.16966987</v>
      </c>
      <c r="AB25" s="4" t="e">
        <f t="shared" si="33"/>
        <v>#VALUE!</v>
      </c>
      <c r="AC25" s="4" t="e">
        <f t="shared" ref="AC25:AC33" si="34">+AA25-AB25</f>
        <v>#VALUE!</v>
      </c>
      <c r="AD25" s="43" t="e">
        <f>+AC25/AA25*100</f>
        <v>#VALUE!</v>
      </c>
      <c r="AE25" s="34"/>
      <c r="AF25" s="38"/>
      <c r="AG25" s="38"/>
      <c r="AH25" s="2"/>
      <c r="AI25" s="37"/>
      <c r="AJ25" s="20"/>
      <c r="AK25" s="20"/>
      <c r="AL25" s="20"/>
      <c r="AM25" s="20"/>
    </row>
    <row r="26" spans="1:41" ht="60" x14ac:dyDescent="0.25">
      <c r="A26" s="21" t="s">
        <v>65</v>
      </c>
      <c r="B26" s="4">
        <v>254272041</v>
      </c>
      <c r="C26" s="4">
        <v>20972282.5</v>
      </c>
      <c r="D26" s="4">
        <v>0</v>
      </c>
      <c r="E26" s="4">
        <f t="shared" si="27"/>
        <v>20972282.5</v>
      </c>
      <c r="F26" s="4">
        <f>+'202401anual'!D50</f>
        <v>0</v>
      </c>
      <c r="G26" s="10">
        <v>0</v>
      </c>
      <c r="H26" s="4">
        <f t="shared" si="28"/>
        <v>0</v>
      </c>
      <c r="I26" s="4">
        <f>+'202401anual'!E50</f>
        <v>0</v>
      </c>
      <c r="J26" s="10">
        <v>0</v>
      </c>
      <c r="K26" s="4">
        <f t="shared" si="29"/>
        <v>0</v>
      </c>
      <c r="L26" s="4">
        <f>+'202401anual'!F50</f>
        <v>0</v>
      </c>
      <c r="M26" s="4" t="e">
        <f>+#REF!</f>
        <v>#REF!</v>
      </c>
      <c r="N26" s="4" t="e">
        <f t="shared" si="30"/>
        <v>#REF!</v>
      </c>
      <c r="O26" s="4">
        <f>+'202401anual'!G50</f>
        <v>0</v>
      </c>
      <c r="P26" s="10">
        <v>0</v>
      </c>
      <c r="Q26" s="4">
        <f t="shared" si="31"/>
        <v>0</v>
      </c>
      <c r="R26" s="4">
        <f>+'202401anual'!H50</f>
        <v>0</v>
      </c>
      <c r="S26" s="10">
        <v>0</v>
      </c>
      <c r="T26" s="4">
        <f t="shared" si="32"/>
        <v>0</v>
      </c>
      <c r="U26" s="10"/>
      <c r="V26" s="10"/>
      <c r="W26" s="10"/>
      <c r="X26" s="10"/>
      <c r="Y26" s="10"/>
      <c r="Z26" s="10"/>
      <c r="AA26" s="4">
        <f t="shared" si="33"/>
        <v>20972282.5</v>
      </c>
      <c r="AB26" s="4" t="e">
        <f t="shared" si="33"/>
        <v>#REF!</v>
      </c>
      <c r="AC26" s="4" t="e">
        <f t="shared" si="34"/>
        <v>#REF!</v>
      </c>
      <c r="AD26" s="43" t="e">
        <f t="shared" ref="AD26:AD31" si="35">+AC26/AA26*100</f>
        <v>#REF!</v>
      </c>
      <c r="AE26" s="34"/>
      <c r="AF26" s="38"/>
      <c r="AG26" s="38"/>
      <c r="AH26" s="2"/>
      <c r="AI26" s="37"/>
      <c r="AJ26" s="20"/>
      <c r="AK26" s="20"/>
    </row>
    <row r="27" spans="1:41" x14ac:dyDescent="0.25">
      <c r="A27" s="5" t="s">
        <v>16</v>
      </c>
      <c r="B27" s="4">
        <v>36000000</v>
      </c>
      <c r="C27" s="4">
        <f>40654560-28654560</f>
        <v>12000000</v>
      </c>
      <c r="D27" s="4">
        <v>31735</v>
      </c>
      <c r="E27" s="4">
        <f t="shared" si="27"/>
        <v>11968265</v>
      </c>
      <c r="F27" s="4">
        <f>+'202401anual'!D51</f>
        <v>0</v>
      </c>
      <c r="G27" s="4">
        <v>31735</v>
      </c>
      <c r="H27" s="4">
        <f t="shared" si="28"/>
        <v>-31735</v>
      </c>
      <c r="I27" s="4">
        <f>+'202401anual'!E51</f>
        <v>0</v>
      </c>
      <c r="J27" s="4" t="e">
        <f>+#REF!</f>
        <v>#REF!</v>
      </c>
      <c r="K27" s="4" t="e">
        <f t="shared" si="29"/>
        <v>#REF!</v>
      </c>
      <c r="L27" s="4">
        <f>+'202401anual'!F51</f>
        <v>0</v>
      </c>
      <c r="M27" s="4" t="e">
        <f>+#REF!</f>
        <v>#REF!</v>
      </c>
      <c r="N27" s="4" t="e">
        <f t="shared" si="30"/>
        <v>#REF!</v>
      </c>
      <c r="O27" s="4">
        <f>+'202401anual'!G51</f>
        <v>0</v>
      </c>
      <c r="P27" s="4" t="e">
        <f>+#REF!</f>
        <v>#REF!</v>
      </c>
      <c r="Q27" s="4" t="e">
        <f t="shared" si="31"/>
        <v>#REF!</v>
      </c>
      <c r="R27" s="4">
        <f>+'202401anual'!H51</f>
        <v>0</v>
      </c>
      <c r="S27" s="4" t="e">
        <f>+#REF!</f>
        <v>#REF!</v>
      </c>
      <c r="T27" s="4" t="e">
        <f t="shared" si="32"/>
        <v>#REF!</v>
      </c>
      <c r="U27" s="4"/>
      <c r="V27" s="4"/>
      <c r="W27" s="4"/>
      <c r="X27" s="4"/>
      <c r="Y27" s="4"/>
      <c r="Z27" s="4"/>
      <c r="AA27" s="4">
        <f t="shared" si="33"/>
        <v>12000000</v>
      </c>
      <c r="AB27" s="4" t="e">
        <f t="shared" si="33"/>
        <v>#REF!</v>
      </c>
      <c r="AC27" s="4" t="e">
        <f t="shared" si="34"/>
        <v>#REF!</v>
      </c>
      <c r="AD27" s="43" t="e">
        <f t="shared" si="35"/>
        <v>#REF!</v>
      </c>
      <c r="AE27" s="34"/>
      <c r="AF27" s="38"/>
      <c r="AG27" s="38"/>
      <c r="AH27" s="2"/>
      <c r="AI27" s="2"/>
    </row>
    <row r="28" spans="1:41" x14ac:dyDescent="0.25">
      <c r="A28" s="5" t="s">
        <v>17</v>
      </c>
      <c r="B28" s="46">
        <f>8582072214-7200000000-720000000</f>
        <v>662072214</v>
      </c>
      <c r="C28" s="4">
        <v>55867726.200000003</v>
      </c>
      <c r="D28" s="4">
        <v>1086170</v>
      </c>
      <c r="E28" s="4">
        <f t="shared" si="27"/>
        <v>54781556.200000003</v>
      </c>
      <c r="F28" s="4">
        <f>+'202401anual'!D54</f>
        <v>59412573</v>
      </c>
      <c r="G28" s="4">
        <f>63470+22169100</f>
        <v>22232570</v>
      </c>
      <c r="H28" s="4">
        <f t="shared" si="28"/>
        <v>37180003</v>
      </c>
      <c r="I28" s="4">
        <f>+'202401anual'!E54</f>
        <v>0</v>
      </c>
      <c r="J28" s="4" t="e">
        <f>+#REF!</f>
        <v>#REF!</v>
      </c>
      <c r="K28" s="4" t="e">
        <f t="shared" si="29"/>
        <v>#REF!</v>
      </c>
      <c r="L28" s="4">
        <f>+'202401anual'!F54</f>
        <v>0</v>
      </c>
      <c r="M28" s="4" t="e">
        <f>+#REF!</f>
        <v>#REF!</v>
      </c>
      <c r="N28" s="4" t="e">
        <f t="shared" si="30"/>
        <v>#REF!</v>
      </c>
      <c r="O28" s="4">
        <f>+'202401anual'!G54</f>
        <v>37298000</v>
      </c>
      <c r="P28" s="4" t="e">
        <f>+#REF!</f>
        <v>#REF!</v>
      </c>
      <c r="Q28" s="4" t="e">
        <f t="shared" si="31"/>
        <v>#REF!</v>
      </c>
      <c r="R28" s="46">
        <f>+'202401anual'!H54-7200000000-720000000</f>
        <v>-7860556306</v>
      </c>
      <c r="S28" s="4" t="e">
        <f>+#REF!</f>
        <v>#REF!</v>
      </c>
      <c r="T28" s="4" t="e">
        <f t="shared" si="32"/>
        <v>#REF!</v>
      </c>
      <c r="U28" s="4"/>
      <c r="V28" s="4"/>
      <c r="W28" s="4"/>
      <c r="X28" s="4"/>
      <c r="Y28" s="4"/>
      <c r="Z28" s="4"/>
      <c r="AA28" s="4">
        <f t="shared" si="33"/>
        <v>-7707978006.8000002</v>
      </c>
      <c r="AB28" s="4" t="e">
        <f t="shared" si="33"/>
        <v>#REF!</v>
      </c>
      <c r="AC28" s="4" t="e">
        <f t="shared" si="34"/>
        <v>#REF!</v>
      </c>
      <c r="AD28" s="43" t="e">
        <f t="shared" si="35"/>
        <v>#REF!</v>
      </c>
      <c r="AE28" s="34"/>
      <c r="AF28" s="38"/>
      <c r="AG28" s="38"/>
      <c r="AH28" s="2"/>
      <c r="AI28" s="2"/>
    </row>
    <row r="29" spans="1:41" x14ac:dyDescent="0.25">
      <c r="A29" s="5" t="s">
        <v>7</v>
      </c>
      <c r="B29" s="4">
        <f>1481563987+36650001</f>
        <v>1518213988</v>
      </c>
      <c r="C29" s="4">
        <v>95543915.599999994</v>
      </c>
      <c r="D29" s="4">
        <v>8641952</v>
      </c>
      <c r="E29" s="4">
        <f t="shared" si="27"/>
        <v>86901963.599999994</v>
      </c>
      <c r="F29" s="4">
        <f>+'202401anual'!D58</f>
        <v>50098775.880999997</v>
      </c>
      <c r="G29" s="4">
        <f>64000000+31775</f>
        <v>64031775</v>
      </c>
      <c r="H29" s="4">
        <f t="shared" si="28"/>
        <v>-13932999.119000003</v>
      </c>
      <c r="I29" s="4">
        <f>+'202401anual'!E58</f>
        <v>6000000</v>
      </c>
      <c r="J29" s="4" t="e">
        <f>+#REF!</f>
        <v>#REF!</v>
      </c>
      <c r="K29" s="4" t="e">
        <f t="shared" si="29"/>
        <v>#REF!</v>
      </c>
      <c r="L29" s="4">
        <f>+'202401anual'!F58</f>
        <v>6533334</v>
      </c>
      <c r="M29" s="4" t="e">
        <f>+#REF!</f>
        <v>#REF!</v>
      </c>
      <c r="N29" s="4" t="e">
        <f t="shared" si="30"/>
        <v>#REF!</v>
      </c>
      <c r="O29" s="4">
        <f>+'202401anual'!G58</f>
        <v>28112292</v>
      </c>
      <c r="P29" s="4" t="e">
        <f>+#REF!</f>
        <v>#REF!</v>
      </c>
      <c r="Q29" s="4" t="e">
        <f t="shared" si="31"/>
        <v>#REF!</v>
      </c>
      <c r="R29" s="4">
        <f>+'202401anual'!H58</f>
        <v>28392449.239999998</v>
      </c>
      <c r="S29" s="4" t="e">
        <f>+#REF!</f>
        <v>#REF!</v>
      </c>
      <c r="T29" s="4" t="e">
        <f t="shared" si="32"/>
        <v>#REF!</v>
      </c>
      <c r="U29" s="4"/>
      <c r="V29" s="4"/>
      <c r="W29" s="4"/>
      <c r="X29" s="4"/>
      <c r="Y29" s="4"/>
      <c r="Z29" s="4"/>
      <c r="AA29" s="4">
        <f t="shared" si="33"/>
        <v>214680766.72100002</v>
      </c>
      <c r="AB29" s="4" t="e">
        <f t="shared" si="33"/>
        <v>#REF!</v>
      </c>
      <c r="AC29" s="4" t="e">
        <f t="shared" si="34"/>
        <v>#REF!</v>
      </c>
      <c r="AD29" s="43" t="e">
        <f t="shared" si="35"/>
        <v>#REF!</v>
      </c>
      <c r="AE29" s="34"/>
      <c r="AF29" s="38"/>
      <c r="AG29" s="38"/>
      <c r="AH29" s="2"/>
      <c r="AI29" s="2"/>
    </row>
    <row r="30" spans="1:41" x14ac:dyDescent="0.25">
      <c r="A30" s="5" t="s">
        <v>57</v>
      </c>
      <c r="B30" s="46">
        <f>737281080-10000000-10000000</f>
        <v>717281080</v>
      </c>
      <c r="C30" s="4">
        <v>133706950</v>
      </c>
      <c r="D30" s="4">
        <v>117651</v>
      </c>
      <c r="E30" s="4">
        <f t="shared" si="27"/>
        <v>133589299</v>
      </c>
      <c r="F30" s="4">
        <f>+'202401anual'!D72</f>
        <v>2115000</v>
      </c>
      <c r="G30" s="4">
        <f>3454434+117651+3000000</f>
        <v>6572085</v>
      </c>
      <c r="H30" s="4">
        <f t="shared" si="28"/>
        <v>-4457085</v>
      </c>
      <c r="I30" s="4">
        <f>+'202401anual'!E72</f>
        <v>1755000</v>
      </c>
      <c r="J30" s="4" t="e">
        <f>+#REF!</f>
        <v>#REF!</v>
      </c>
      <c r="K30" s="4" t="e">
        <f t="shared" si="29"/>
        <v>#REF!</v>
      </c>
      <c r="L30" s="4">
        <f>+'202401anual'!F72</f>
        <v>615000</v>
      </c>
      <c r="M30" s="4" t="e">
        <f>+#REF!</f>
        <v>#REF!</v>
      </c>
      <c r="N30" s="4" t="e">
        <f t="shared" si="30"/>
        <v>#REF!</v>
      </c>
      <c r="O30" s="4">
        <f>+'202401anual'!G72</f>
        <v>615000</v>
      </c>
      <c r="P30" s="4" t="e">
        <f>+#REF!</f>
        <v>#REF!</v>
      </c>
      <c r="Q30" s="4" t="e">
        <f t="shared" si="31"/>
        <v>#REF!</v>
      </c>
      <c r="R30" s="46">
        <f>+'202401anual'!H72-10000000-10000000</f>
        <v>-19385000</v>
      </c>
      <c r="S30" s="4" t="e">
        <f>+#REF!</f>
        <v>#REF!</v>
      </c>
      <c r="T30" s="4" t="e">
        <f t="shared" si="32"/>
        <v>#REF!</v>
      </c>
      <c r="U30" s="4"/>
      <c r="V30" s="4"/>
      <c r="W30" s="4"/>
      <c r="X30" s="4"/>
      <c r="Y30" s="4"/>
      <c r="Z30" s="4"/>
      <c r="AA30" s="4">
        <f t="shared" si="33"/>
        <v>119421950</v>
      </c>
      <c r="AB30" s="4" t="e">
        <f t="shared" si="33"/>
        <v>#REF!</v>
      </c>
      <c r="AC30" s="4" t="e">
        <f t="shared" si="34"/>
        <v>#REF!</v>
      </c>
      <c r="AD30" s="43" t="e">
        <f t="shared" si="35"/>
        <v>#REF!</v>
      </c>
      <c r="AE30" s="34"/>
      <c r="AF30" s="38"/>
      <c r="AG30" s="38"/>
      <c r="AH30" s="2"/>
      <c r="AI30" s="2"/>
    </row>
    <row r="31" spans="1:41" x14ac:dyDescent="0.25">
      <c r="A31" s="5" t="s">
        <v>66</v>
      </c>
      <c r="B31" s="4">
        <f>47254560+28654560</f>
        <v>75909120</v>
      </c>
      <c r="C31" s="4">
        <v>72609120</v>
      </c>
      <c r="D31" s="4">
        <v>0</v>
      </c>
      <c r="E31" s="4">
        <f t="shared" si="27"/>
        <v>72609120</v>
      </c>
      <c r="F31" s="4">
        <f>+'202401anual'!D79</f>
        <v>0</v>
      </c>
      <c r="G31" s="4">
        <v>0</v>
      </c>
      <c r="H31" s="4">
        <f t="shared" si="28"/>
        <v>0</v>
      </c>
      <c r="I31" s="4">
        <f>+'202401anual'!E79</f>
        <v>0</v>
      </c>
      <c r="J31" s="4">
        <v>0</v>
      </c>
      <c r="K31" s="4">
        <f t="shared" si="29"/>
        <v>0</v>
      </c>
      <c r="L31" s="4">
        <f>+'202401anual'!F79</f>
        <v>0</v>
      </c>
      <c r="M31" s="4">
        <v>0</v>
      </c>
      <c r="N31" s="4">
        <f t="shared" si="30"/>
        <v>0</v>
      </c>
      <c r="O31" s="4">
        <f>+'202401anual'!G79</f>
        <v>0</v>
      </c>
      <c r="P31" s="4">
        <v>0</v>
      </c>
      <c r="Q31" s="4">
        <f t="shared" si="31"/>
        <v>0</v>
      </c>
      <c r="R31" s="4">
        <f>+'202401anual'!H79</f>
        <v>0</v>
      </c>
      <c r="S31" s="4">
        <v>0</v>
      </c>
      <c r="T31" s="4">
        <f t="shared" si="32"/>
        <v>0</v>
      </c>
      <c r="U31" s="4"/>
      <c r="V31" s="4"/>
      <c r="W31" s="4"/>
      <c r="X31" s="4"/>
      <c r="Y31" s="4"/>
      <c r="Z31" s="4"/>
      <c r="AA31" s="4">
        <f t="shared" si="33"/>
        <v>72609120</v>
      </c>
      <c r="AB31" s="4">
        <f t="shared" si="33"/>
        <v>0</v>
      </c>
      <c r="AC31" s="4">
        <f t="shared" si="34"/>
        <v>72609120</v>
      </c>
      <c r="AD31" s="43">
        <f t="shared" si="35"/>
        <v>100</v>
      </c>
      <c r="AE31" s="34"/>
      <c r="AF31" s="38"/>
      <c r="AG31" s="38"/>
      <c r="AH31" s="2"/>
      <c r="AI31" s="2"/>
    </row>
    <row r="32" spans="1:41" x14ac:dyDescent="0.25">
      <c r="A32" s="5" t="s">
        <v>90</v>
      </c>
      <c r="B32" s="46">
        <f>1500000000-1500000000</f>
        <v>0</v>
      </c>
      <c r="C32" s="4">
        <v>0</v>
      </c>
      <c r="D32" s="4">
        <v>0</v>
      </c>
      <c r="E32" s="4">
        <f t="shared" si="27"/>
        <v>0</v>
      </c>
      <c r="F32" s="4" t="e">
        <f>+'202401anual'!#REF!</f>
        <v>#REF!</v>
      </c>
      <c r="G32" s="4">
        <v>0</v>
      </c>
      <c r="H32" s="4" t="e">
        <f t="shared" si="28"/>
        <v>#REF!</v>
      </c>
      <c r="I32" s="4" t="e">
        <f>+'202401anual'!#REF!</f>
        <v>#REF!</v>
      </c>
      <c r="J32" s="4">
        <v>0</v>
      </c>
      <c r="K32" s="4" t="e">
        <f t="shared" si="29"/>
        <v>#REF!</v>
      </c>
      <c r="L32" s="4" t="e">
        <f>+'202401anual'!#REF!</f>
        <v>#REF!</v>
      </c>
      <c r="M32" s="4">
        <v>0</v>
      </c>
      <c r="N32" s="4" t="e">
        <f t="shared" si="30"/>
        <v>#REF!</v>
      </c>
      <c r="O32" s="4" t="e">
        <f>+'202401anual'!#REF!</f>
        <v>#REF!</v>
      </c>
      <c r="P32" s="4">
        <v>0</v>
      </c>
      <c r="Q32" s="4" t="e">
        <f t="shared" si="31"/>
        <v>#REF!</v>
      </c>
      <c r="R32" s="46">
        <v>-1500000000</v>
      </c>
      <c r="S32" s="4">
        <v>0</v>
      </c>
      <c r="T32" s="4">
        <f t="shared" si="32"/>
        <v>-1500000000</v>
      </c>
      <c r="U32" s="4"/>
      <c r="V32" s="4"/>
      <c r="W32" s="4"/>
      <c r="X32" s="4"/>
      <c r="Y32" s="4"/>
      <c r="Z32" s="4"/>
      <c r="AA32" s="4" t="e">
        <f t="shared" si="33"/>
        <v>#REF!</v>
      </c>
      <c r="AB32" s="4">
        <f t="shared" si="33"/>
        <v>0</v>
      </c>
      <c r="AC32" s="4" t="e">
        <f t="shared" si="34"/>
        <v>#REF!</v>
      </c>
      <c r="AD32" s="43">
        <v>0</v>
      </c>
      <c r="AE32" s="34"/>
      <c r="AF32" s="38"/>
      <c r="AG32" s="38"/>
      <c r="AH32" s="2"/>
      <c r="AI32" s="2"/>
    </row>
    <row r="33" spans="1:38" x14ac:dyDescent="0.25">
      <c r="A33" s="5" t="s">
        <v>91</v>
      </c>
      <c r="B33" s="46">
        <f>150000000-150000000</f>
        <v>0</v>
      </c>
      <c r="C33" s="4">
        <v>0</v>
      </c>
      <c r="D33" s="4">
        <v>0</v>
      </c>
      <c r="E33" s="4">
        <f t="shared" si="27"/>
        <v>0</v>
      </c>
      <c r="F33" s="4" t="e">
        <f>+'202401anual'!#REF!</f>
        <v>#REF!</v>
      </c>
      <c r="G33" s="4">
        <v>0</v>
      </c>
      <c r="H33" s="4" t="e">
        <f t="shared" si="28"/>
        <v>#REF!</v>
      </c>
      <c r="I33" s="4" t="e">
        <f>+'202401anual'!#REF!</f>
        <v>#REF!</v>
      </c>
      <c r="J33" s="4">
        <v>0</v>
      </c>
      <c r="K33" s="4" t="e">
        <f t="shared" si="29"/>
        <v>#REF!</v>
      </c>
      <c r="L33" s="4" t="e">
        <f>+'202401anual'!#REF!</f>
        <v>#REF!</v>
      </c>
      <c r="M33" s="4">
        <v>0</v>
      </c>
      <c r="N33" s="4" t="e">
        <f t="shared" si="30"/>
        <v>#REF!</v>
      </c>
      <c r="O33" s="4" t="e">
        <f>+'202401anual'!#REF!</f>
        <v>#REF!</v>
      </c>
      <c r="P33" s="4">
        <v>0</v>
      </c>
      <c r="Q33" s="4" t="e">
        <f t="shared" si="31"/>
        <v>#REF!</v>
      </c>
      <c r="R33" s="46">
        <v>-150000000</v>
      </c>
      <c r="S33" s="4">
        <v>0</v>
      </c>
      <c r="T33" s="4">
        <f t="shared" si="32"/>
        <v>-150000000</v>
      </c>
      <c r="U33" s="4"/>
      <c r="V33" s="4"/>
      <c r="W33" s="4"/>
      <c r="X33" s="4"/>
      <c r="Y33" s="4"/>
      <c r="Z33" s="4"/>
      <c r="AA33" s="4" t="e">
        <f t="shared" si="33"/>
        <v>#REF!</v>
      </c>
      <c r="AB33" s="4">
        <f t="shared" si="33"/>
        <v>0</v>
      </c>
      <c r="AC33" s="4" t="e">
        <f t="shared" si="34"/>
        <v>#REF!</v>
      </c>
      <c r="AD33" s="43">
        <v>0</v>
      </c>
      <c r="AE33" s="34"/>
      <c r="AF33" s="38" t="e">
        <f>+Q34/O34*100</f>
        <v>#VALUE!</v>
      </c>
      <c r="AG33" s="38"/>
      <c r="AH33" s="2"/>
      <c r="AI33" s="2"/>
    </row>
    <row r="34" spans="1:38" x14ac:dyDescent="0.25">
      <c r="A34" s="12" t="s">
        <v>52</v>
      </c>
      <c r="B34" s="8">
        <f>SUM(B25:B33)</f>
        <v>4779801170</v>
      </c>
      <c r="C34" s="8">
        <f>SUM(C25:C33)</f>
        <v>517037721.69468665</v>
      </c>
      <c r="D34" s="8">
        <f t="shared" ref="D34:AA34" si="36">SUM(D25:D33)</f>
        <v>106145017.64</v>
      </c>
      <c r="E34" s="8">
        <f t="shared" si="36"/>
        <v>410892704.05468667</v>
      </c>
      <c r="F34" s="8" t="e">
        <f>SUM(F25:F33)</f>
        <v>#REF!</v>
      </c>
      <c r="G34" s="8">
        <f t="shared" si="36"/>
        <v>182692030.36000001</v>
      </c>
      <c r="H34" s="8" t="e">
        <f t="shared" si="36"/>
        <v>#REF!</v>
      </c>
      <c r="I34" s="8" t="e">
        <f t="shared" si="36"/>
        <v>#REF!</v>
      </c>
      <c r="J34" s="8" t="e">
        <f t="shared" si="36"/>
        <v>#REF!</v>
      </c>
      <c r="K34" s="8" t="e">
        <f t="shared" si="36"/>
        <v>#REF!</v>
      </c>
      <c r="L34" s="8" t="e">
        <f t="shared" si="36"/>
        <v>#REF!</v>
      </c>
      <c r="M34" s="8" t="e">
        <f t="shared" si="36"/>
        <v>#REF!</v>
      </c>
      <c r="N34" s="8" t="e">
        <f t="shared" si="36"/>
        <v>#REF!</v>
      </c>
      <c r="O34" s="8" t="e">
        <f t="shared" si="36"/>
        <v>#REF!</v>
      </c>
      <c r="P34" s="8" t="e">
        <f t="shared" si="36"/>
        <v>#REF!</v>
      </c>
      <c r="Q34" s="8" t="e">
        <f t="shared" si="36"/>
        <v>#VALUE!</v>
      </c>
      <c r="R34" s="8">
        <f t="shared" si="36"/>
        <v>-9389199715.6050034</v>
      </c>
      <c r="S34" s="8" t="e">
        <f t="shared" si="36"/>
        <v>#REF!</v>
      </c>
      <c r="T34" s="8" t="e">
        <f t="shared" si="36"/>
        <v>#REF!</v>
      </c>
      <c r="U34" s="8">
        <f t="shared" si="36"/>
        <v>0</v>
      </c>
      <c r="V34" s="8">
        <f t="shared" si="36"/>
        <v>0</v>
      </c>
      <c r="W34" s="8">
        <f t="shared" si="36"/>
        <v>0</v>
      </c>
      <c r="X34" s="8">
        <f t="shared" si="36"/>
        <v>0</v>
      </c>
      <c r="Y34" s="8">
        <f t="shared" si="36"/>
        <v>0</v>
      </c>
      <c r="Z34" s="8">
        <f t="shared" si="36"/>
        <v>0</v>
      </c>
      <c r="AA34" s="8" t="e">
        <f t="shared" si="36"/>
        <v>#REF!</v>
      </c>
      <c r="AB34" s="8" t="e">
        <f>SUM(AB25:AB33)</f>
        <v>#VALUE!</v>
      </c>
      <c r="AC34" s="8" t="e">
        <f>SUM(AC25:AC33)</f>
        <v>#VALUE!</v>
      </c>
      <c r="AD34" s="31" t="e">
        <f>+AC34/AA34</f>
        <v>#VALUE!</v>
      </c>
      <c r="AE34" s="34" t="e">
        <f>+H34/F34</f>
        <v>#REF!</v>
      </c>
      <c r="AF34" s="39">
        <f>100-63</f>
        <v>37</v>
      </c>
      <c r="AG34" s="45" t="e">
        <f>+N34/L34*100</f>
        <v>#REF!</v>
      </c>
      <c r="AH34" s="2"/>
    </row>
    <row r="35" spans="1:38" x14ac:dyDescent="0.25">
      <c r="A35" s="5" t="s">
        <v>54</v>
      </c>
      <c r="B35" s="4">
        <v>315108512</v>
      </c>
      <c r="C35" s="4">
        <v>26259042.681200095</v>
      </c>
      <c r="D35" s="4">
        <v>20905207</v>
      </c>
      <c r="E35" s="4">
        <f t="shared" si="27"/>
        <v>5353835.6812000945</v>
      </c>
      <c r="F35" s="4">
        <f>+'202401anual'!D81</f>
        <v>26796512.592504274</v>
      </c>
      <c r="G35" s="4">
        <f>27167981-[2]Resultados2023!$C$130-4802535</f>
        <v>22015542</v>
      </c>
      <c r="H35" s="4">
        <f t="shared" si="28"/>
        <v>4780970.5925042741</v>
      </c>
      <c r="I35" s="4">
        <f>+'202401anual'!E81</f>
        <v>26796512.592504274</v>
      </c>
      <c r="J35" s="4">
        <f>45708144.09-J36-1028181</f>
        <v>22383681.090000004</v>
      </c>
      <c r="K35" s="4">
        <f t="shared" ref="K35:K86" si="37">+I35-J35</f>
        <v>4412831.5025042705</v>
      </c>
      <c r="L35" s="4">
        <f>+'202401anual'!F81</f>
        <v>26796512.592504274</v>
      </c>
      <c r="M35" s="4">
        <f>32442461-4802535</f>
        <v>27639926</v>
      </c>
      <c r="N35" s="4">
        <f t="shared" ref="N35:N86" si="38">+L35-M35</f>
        <v>-843413.4074957259</v>
      </c>
      <c r="O35" s="4">
        <f>+'202401anual'!G81</f>
        <v>26796512.592504274</v>
      </c>
      <c r="P35" s="4">
        <v>27521103</v>
      </c>
      <c r="Q35" s="4">
        <f t="shared" ref="Q35:Q86" si="39">+O35-P35</f>
        <v>-724590.4074957259</v>
      </c>
      <c r="R35" s="4">
        <f>+'202401anual'!H81</f>
        <v>26796512.592504274</v>
      </c>
      <c r="S35" s="4"/>
      <c r="T35" s="4">
        <f t="shared" ref="T35:T86" si="40">+R35-S35</f>
        <v>26796512.592504274</v>
      </c>
      <c r="U35" s="4"/>
      <c r="V35" s="4"/>
      <c r="W35" s="4"/>
      <c r="X35" s="4"/>
      <c r="Y35" s="4"/>
      <c r="Z35" s="4"/>
      <c r="AA35" s="4">
        <f t="shared" ref="AA35:AB86" si="41">+C35+F35+I35+L35+O35+R35</f>
        <v>160241605.64372146</v>
      </c>
      <c r="AB35" s="4">
        <f t="shared" si="41"/>
        <v>120465459.09</v>
      </c>
      <c r="AC35" s="4">
        <f t="shared" ref="AC35:AC86" si="42">+AA35-AB35</f>
        <v>39776146.553721458</v>
      </c>
      <c r="AD35" s="43">
        <f t="shared" ref="AD35:AD86" si="43">+AC35/AA35*100</f>
        <v>24.822608581543477</v>
      </c>
      <c r="AE35" s="34"/>
      <c r="AF35" s="38"/>
      <c r="AG35" s="38"/>
      <c r="AH35" s="2"/>
      <c r="AI35" s="2"/>
      <c r="AL35" s="2"/>
    </row>
    <row r="36" spans="1:38" x14ac:dyDescent="0.25">
      <c r="A36" s="5" t="s">
        <v>55</v>
      </c>
      <c r="B36" s="4">
        <v>229762301</v>
      </c>
      <c r="C36" s="4">
        <v>19146858.412866898</v>
      </c>
      <c r="D36" s="4">
        <v>18068114</v>
      </c>
      <c r="E36" s="4">
        <f t="shared" si="27"/>
        <v>1078744.4128668979</v>
      </c>
      <c r="F36" s="4">
        <f>+'202401anual'!D83</f>
        <v>21673904.556444976</v>
      </c>
      <c r="G36" s="4">
        <f>16820292+4802535</f>
        <v>21622827</v>
      </c>
      <c r="H36" s="4">
        <f t="shared" si="28"/>
        <v>51077.556444976479</v>
      </c>
      <c r="I36" s="4">
        <f>+'202401anual'!E83</f>
        <v>21673904.556444976</v>
      </c>
      <c r="J36" s="4">
        <f>17493747+4802535</f>
        <v>22296282</v>
      </c>
      <c r="K36" s="4">
        <f t="shared" si="37"/>
        <v>-622377.44355502352</v>
      </c>
      <c r="L36" s="4">
        <f>+'202401anual'!F83</f>
        <v>21673904.556444976</v>
      </c>
      <c r="M36" s="4">
        <f>18669307+4802535</f>
        <v>23471842</v>
      </c>
      <c r="N36" s="4">
        <f t="shared" si="38"/>
        <v>-1797937.4435550235</v>
      </c>
      <c r="O36" s="4">
        <f>+'202401anual'!G83</f>
        <v>21673904.556444976</v>
      </c>
      <c r="P36" s="4">
        <v>23370937.437838003</v>
      </c>
      <c r="Q36" s="4">
        <f t="shared" si="39"/>
        <v>-1697032.8813930266</v>
      </c>
      <c r="R36" s="4">
        <f>+'202401anual'!H83</f>
        <v>21673904.556444976</v>
      </c>
      <c r="S36" s="4"/>
      <c r="T36" s="4">
        <f t="shared" si="40"/>
        <v>21673904.556444976</v>
      </c>
      <c r="U36" s="4"/>
      <c r="V36" s="4"/>
      <c r="W36" s="4"/>
      <c r="X36" s="4"/>
      <c r="Y36" s="4"/>
      <c r="Z36" s="4"/>
      <c r="AA36" s="4">
        <f t="shared" si="41"/>
        <v>127516381.19509177</v>
      </c>
      <c r="AB36" s="4">
        <f t="shared" si="41"/>
        <v>108830002.437838</v>
      </c>
      <c r="AC36" s="4">
        <f t="shared" si="42"/>
        <v>18686378.757253766</v>
      </c>
      <c r="AD36" s="43">
        <f t="shared" si="43"/>
        <v>14.654100580744069</v>
      </c>
      <c r="AE36" s="34"/>
      <c r="AF36" s="38"/>
      <c r="AG36" s="38"/>
      <c r="AH36" s="2"/>
      <c r="AI36" s="2"/>
      <c r="AL36" s="2"/>
    </row>
    <row r="37" spans="1:38" x14ac:dyDescent="0.25">
      <c r="A37" s="5" t="s">
        <v>88</v>
      </c>
      <c r="B37" s="4">
        <v>2000000</v>
      </c>
      <c r="C37" s="4">
        <v>0</v>
      </c>
      <c r="D37" s="4">
        <v>0</v>
      </c>
      <c r="E37" s="4">
        <f t="shared" si="27"/>
        <v>0</v>
      </c>
      <c r="F37" s="4">
        <f>+'202401anual'!D84</f>
        <v>0</v>
      </c>
      <c r="G37" s="4">
        <v>0</v>
      </c>
      <c r="H37" s="4">
        <f t="shared" si="28"/>
        <v>0</v>
      </c>
      <c r="I37" s="4">
        <f>+'202401anual'!E84</f>
        <v>0</v>
      </c>
      <c r="J37" s="4"/>
      <c r="K37" s="4">
        <f t="shared" si="37"/>
        <v>0</v>
      </c>
      <c r="L37" s="4">
        <f>+'202401anual'!F84</f>
        <v>0</v>
      </c>
      <c r="M37" s="4">
        <v>0</v>
      </c>
      <c r="N37" s="4">
        <f t="shared" si="38"/>
        <v>0</v>
      </c>
      <c r="O37" s="4">
        <f>+'202401anual'!G84</f>
        <v>0</v>
      </c>
      <c r="P37" s="4">
        <v>0</v>
      </c>
      <c r="Q37" s="4">
        <f t="shared" si="39"/>
        <v>0</v>
      </c>
      <c r="R37" s="4">
        <f>+'202401anual'!H84</f>
        <v>0</v>
      </c>
      <c r="S37" s="4"/>
      <c r="T37" s="4">
        <f t="shared" si="40"/>
        <v>0</v>
      </c>
      <c r="U37" s="4"/>
      <c r="V37" s="4"/>
      <c r="W37" s="4"/>
      <c r="X37" s="4"/>
      <c r="Y37" s="4"/>
      <c r="Z37" s="4"/>
      <c r="AA37" s="4">
        <f t="shared" si="41"/>
        <v>0</v>
      </c>
      <c r="AB37" s="4">
        <f t="shared" si="41"/>
        <v>0</v>
      </c>
      <c r="AC37" s="4">
        <f t="shared" si="42"/>
        <v>0</v>
      </c>
      <c r="AD37" s="43">
        <v>0</v>
      </c>
      <c r="AE37" s="34"/>
      <c r="AF37" s="38"/>
      <c r="AG37" s="38"/>
      <c r="AH37" s="2"/>
      <c r="AI37" s="2"/>
      <c r="AL37" s="2"/>
    </row>
    <row r="38" spans="1:38" x14ac:dyDescent="0.25">
      <c r="A38" s="5" t="s">
        <v>18</v>
      </c>
      <c r="B38" s="4">
        <v>12120000</v>
      </c>
      <c r="C38" s="4">
        <v>760000</v>
      </c>
      <c r="D38" s="4">
        <v>794000</v>
      </c>
      <c r="E38" s="4">
        <f t="shared" si="27"/>
        <v>-34000</v>
      </c>
      <c r="F38" s="4">
        <f>+'202401anual'!D85</f>
        <v>900000</v>
      </c>
      <c r="G38" s="4">
        <v>794000</v>
      </c>
      <c r="H38" s="4">
        <f t="shared" si="28"/>
        <v>106000</v>
      </c>
      <c r="I38" s="4">
        <f>+'202401anual'!E85</f>
        <v>0</v>
      </c>
      <c r="J38" s="4">
        <f>+[6]EjecucionPptalPasiva!$Q$276</f>
        <v>794000</v>
      </c>
      <c r="K38" s="4">
        <f t="shared" si="37"/>
        <v>-794000</v>
      </c>
      <c r="L38" s="4">
        <f>+'202401anual'!F85</f>
        <v>0</v>
      </c>
      <c r="M38" s="4">
        <f>+[5]EjecucionPptalPasiva!$Q$276</f>
        <v>794000</v>
      </c>
      <c r="N38" s="4">
        <f t="shared" si="38"/>
        <v>-794000</v>
      </c>
      <c r="O38" s="4">
        <f>+'202401anual'!G85</f>
        <v>0</v>
      </c>
      <c r="P38" s="4">
        <v>794000</v>
      </c>
      <c r="Q38" s="4">
        <f t="shared" si="39"/>
        <v>-794000</v>
      </c>
      <c r="R38" s="4">
        <f>+'202401anual'!H85</f>
        <v>0</v>
      </c>
      <c r="S38" s="4"/>
      <c r="T38" s="4">
        <f t="shared" si="40"/>
        <v>0</v>
      </c>
      <c r="U38" s="4"/>
      <c r="V38" s="4"/>
      <c r="W38" s="4"/>
      <c r="X38" s="4"/>
      <c r="Y38" s="4"/>
      <c r="Z38" s="4"/>
      <c r="AA38" s="4">
        <f t="shared" si="41"/>
        <v>1660000</v>
      </c>
      <c r="AB38" s="4">
        <f t="shared" si="41"/>
        <v>3970000</v>
      </c>
      <c r="AC38" s="4">
        <f t="shared" si="42"/>
        <v>-2310000</v>
      </c>
      <c r="AD38" s="43">
        <f t="shared" si="43"/>
        <v>-139.15662650602408</v>
      </c>
      <c r="AE38" s="34"/>
      <c r="AF38" s="38"/>
      <c r="AG38" s="38"/>
      <c r="AH38" s="2"/>
      <c r="AI38" s="2"/>
    </row>
    <row r="39" spans="1:38" x14ac:dyDescent="0.25">
      <c r="A39" s="5" t="s">
        <v>71</v>
      </c>
      <c r="B39" s="4">
        <v>10000000</v>
      </c>
      <c r="C39" s="4">
        <v>0</v>
      </c>
      <c r="D39" s="4">
        <v>0</v>
      </c>
      <c r="E39" s="4">
        <f t="shared" si="27"/>
        <v>0</v>
      </c>
      <c r="F39" s="4">
        <f>+'202401anual'!D86</f>
        <v>1075000</v>
      </c>
      <c r="G39" s="4">
        <v>0</v>
      </c>
      <c r="H39" s="4">
        <f t="shared" si="28"/>
        <v>1075000</v>
      </c>
      <c r="I39" s="4">
        <f>+'202401anual'!E86</f>
        <v>1075000</v>
      </c>
      <c r="J39" s="4"/>
      <c r="K39" s="4">
        <f t="shared" si="37"/>
        <v>1075000</v>
      </c>
      <c r="L39" s="4">
        <f>+'202401anual'!F86</f>
        <v>1075000</v>
      </c>
      <c r="M39" s="4">
        <v>0</v>
      </c>
      <c r="N39" s="4">
        <f t="shared" si="38"/>
        <v>1075000</v>
      </c>
      <c r="O39" s="4">
        <f>+'202401anual'!G86</f>
        <v>1075000</v>
      </c>
      <c r="P39" s="4">
        <v>0</v>
      </c>
      <c r="Q39" s="4">
        <f t="shared" si="39"/>
        <v>1075000</v>
      </c>
      <c r="R39" s="4">
        <f>+'202401anual'!H86</f>
        <v>1075000</v>
      </c>
      <c r="S39" s="4"/>
      <c r="T39" s="4">
        <f t="shared" si="40"/>
        <v>1075000</v>
      </c>
      <c r="U39" s="4"/>
      <c r="V39" s="4"/>
      <c r="W39" s="4"/>
      <c r="X39" s="4"/>
      <c r="Y39" s="4"/>
      <c r="Z39" s="4"/>
      <c r="AA39" s="4">
        <f t="shared" si="41"/>
        <v>5375000</v>
      </c>
      <c r="AB39" s="4">
        <f t="shared" si="41"/>
        <v>0</v>
      </c>
      <c r="AC39" s="4">
        <f t="shared" si="42"/>
        <v>5375000</v>
      </c>
      <c r="AD39" s="43">
        <v>0</v>
      </c>
      <c r="AE39" s="34"/>
      <c r="AF39" s="38"/>
      <c r="AG39" s="38"/>
      <c r="AH39" s="2"/>
      <c r="AI39" s="2"/>
    </row>
    <row r="40" spans="1:38" x14ac:dyDescent="0.25">
      <c r="A40" s="5" t="s">
        <v>84</v>
      </c>
      <c r="B40" s="4">
        <v>13500000</v>
      </c>
      <c r="C40" s="4">
        <v>0</v>
      </c>
      <c r="D40" s="4">
        <v>0</v>
      </c>
      <c r="E40" s="4">
        <f t="shared" si="27"/>
        <v>0</v>
      </c>
      <c r="F40" s="4">
        <f>+'202401anual'!D87</f>
        <v>0</v>
      </c>
      <c r="G40" s="4">
        <v>0</v>
      </c>
      <c r="H40" s="4">
        <f t="shared" si="28"/>
        <v>0</v>
      </c>
      <c r="I40" s="4">
        <f>+'202401anual'!E87</f>
        <v>0</v>
      </c>
      <c r="J40" s="4"/>
      <c r="K40" s="4">
        <f t="shared" si="37"/>
        <v>0</v>
      </c>
      <c r="L40" s="4">
        <f>+'202401anual'!F87</f>
        <v>0</v>
      </c>
      <c r="M40" s="4">
        <v>0</v>
      </c>
      <c r="N40" s="4">
        <f t="shared" si="38"/>
        <v>0</v>
      </c>
      <c r="O40" s="4">
        <f>+'202401anual'!G87</f>
        <v>0</v>
      </c>
      <c r="P40" s="4">
        <v>0</v>
      </c>
      <c r="Q40" s="4">
        <f t="shared" si="39"/>
        <v>0</v>
      </c>
      <c r="R40" s="4">
        <f>+'202401anual'!H87</f>
        <v>369000</v>
      </c>
      <c r="S40" s="4"/>
      <c r="T40" s="4">
        <f t="shared" si="40"/>
        <v>369000</v>
      </c>
      <c r="U40" s="4"/>
      <c r="V40" s="4"/>
      <c r="W40" s="4"/>
      <c r="X40" s="4"/>
      <c r="Y40" s="4"/>
      <c r="Z40" s="4"/>
      <c r="AA40" s="4">
        <f t="shared" si="41"/>
        <v>369000</v>
      </c>
      <c r="AB40" s="4">
        <f t="shared" si="41"/>
        <v>0</v>
      </c>
      <c r="AC40" s="4">
        <f t="shared" si="42"/>
        <v>369000</v>
      </c>
      <c r="AD40" s="43">
        <v>0</v>
      </c>
      <c r="AE40" s="34"/>
      <c r="AF40" s="38"/>
      <c r="AG40" s="38"/>
      <c r="AH40" s="2"/>
      <c r="AI40" s="2"/>
    </row>
    <row r="41" spans="1:38" x14ac:dyDescent="0.25">
      <c r="A41" s="5" t="s">
        <v>19</v>
      </c>
      <c r="B41" s="4">
        <v>134400000</v>
      </c>
      <c r="C41" s="4">
        <v>11200000</v>
      </c>
      <c r="D41" s="4">
        <v>10666000</v>
      </c>
      <c r="E41" s="4">
        <f t="shared" si="27"/>
        <v>534000</v>
      </c>
      <c r="F41" s="4">
        <f>+'202401anual'!D88</f>
        <v>11965000</v>
      </c>
      <c r="G41" s="4">
        <v>10666000</v>
      </c>
      <c r="H41" s="4">
        <f t="shared" si="28"/>
        <v>1299000</v>
      </c>
      <c r="I41" s="4">
        <f>+'202401anual'!E88</f>
        <v>11965000</v>
      </c>
      <c r="J41" s="4">
        <f>+[6]EjecucionPptalPasiva!$Q$289+[6]EjecucionPptalPasiva!$Q$294</f>
        <v>10666000</v>
      </c>
      <c r="K41" s="4">
        <f t="shared" si="37"/>
        <v>1299000</v>
      </c>
      <c r="L41" s="4">
        <f>+'202401anual'!F88</f>
        <v>11965000</v>
      </c>
      <c r="M41" s="4">
        <f>+[5]EjecucionPptalPasiva!$Q$289+[5]EjecucionPptalPasiva!$Q$294</f>
        <v>10666000</v>
      </c>
      <c r="N41" s="4">
        <f t="shared" si="38"/>
        <v>1299000</v>
      </c>
      <c r="O41" s="4">
        <f>+'202401anual'!G88</f>
        <v>11965000</v>
      </c>
      <c r="P41" s="4">
        <v>10666000</v>
      </c>
      <c r="Q41" s="4">
        <f t="shared" si="39"/>
        <v>1299000</v>
      </c>
      <c r="R41" s="4">
        <f>+'202401anual'!H88</f>
        <v>11965000</v>
      </c>
      <c r="S41" s="4"/>
      <c r="T41" s="4">
        <f t="shared" si="40"/>
        <v>11965000</v>
      </c>
      <c r="U41" s="4"/>
      <c r="V41" s="4"/>
      <c r="W41" s="4"/>
      <c r="X41" s="4"/>
      <c r="Y41" s="4"/>
      <c r="Z41" s="4"/>
      <c r="AA41" s="4">
        <f t="shared" si="41"/>
        <v>71025000</v>
      </c>
      <c r="AB41" s="4">
        <f t="shared" si="41"/>
        <v>53330000</v>
      </c>
      <c r="AC41" s="4">
        <f t="shared" si="42"/>
        <v>17695000</v>
      </c>
      <c r="AD41" s="43">
        <f t="shared" si="43"/>
        <v>24.913762759591691</v>
      </c>
      <c r="AE41" s="34"/>
      <c r="AF41" s="38"/>
      <c r="AG41" s="38"/>
      <c r="AH41" s="2"/>
      <c r="AI41" s="2"/>
    </row>
    <row r="42" spans="1:38" ht="30" x14ac:dyDescent="0.25">
      <c r="A42" s="21" t="s">
        <v>89</v>
      </c>
      <c r="B42" s="4">
        <v>27000000</v>
      </c>
      <c r="C42" s="4">
        <v>0</v>
      </c>
      <c r="D42" s="4">
        <v>0</v>
      </c>
      <c r="E42" s="4">
        <f t="shared" si="27"/>
        <v>0</v>
      </c>
      <c r="F42" s="4">
        <f>+'202401anual'!D89</f>
        <v>0</v>
      </c>
      <c r="G42" s="4">
        <v>3450000</v>
      </c>
      <c r="H42" s="4">
        <f t="shared" si="28"/>
        <v>-3450000</v>
      </c>
      <c r="I42" s="4">
        <f>+'202401anual'!E89</f>
        <v>0</v>
      </c>
      <c r="J42" s="4"/>
      <c r="K42" s="4">
        <f t="shared" si="37"/>
        <v>0</v>
      </c>
      <c r="L42" s="4">
        <f>+'202401anual'!F89</f>
        <v>0</v>
      </c>
      <c r="M42" s="4">
        <v>0</v>
      </c>
      <c r="N42" s="4">
        <f t="shared" si="38"/>
        <v>0</v>
      </c>
      <c r="O42" s="4">
        <f>+'202401anual'!G89</f>
        <v>0</v>
      </c>
      <c r="P42" s="4">
        <v>0</v>
      </c>
      <c r="Q42" s="4">
        <f t="shared" si="39"/>
        <v>0</v>
      </c>
      <c r="R42" s="4">
        <f>+'202401anual'!H89</f>
        <v>0</v>
      </c>
      <c r="S42" s="4"/>
      <c r="T42" s="4">
        <f t="shared" si="40"/>
        <v>0</v>
      </c>
      <c r="U42" s="4"/>
      <c r="V42" s="4"/>
      <c r="W42" s="4"/>
      <c r="X42" s="4"/>
      <c r="Y42" s="4"/>
      <c r="Z42" s="4"/>
      <c r="AA42" s="4">
        <f t="shared" si="41"/>
        <v>0</v>
      </c>
      <c r="AB42" s="4">
        <f t="shared" si="41"/>
        <v>3450000</v>
      </c>
      <c r="AC42" s="4">
        <f t="shared" si="42"/>
        <v>-3450000</v>
      </c>
      <c r="AD42" s="43">
        <v>0</v>
      </c>
      <c r="AE42" s="34"/>
      <c r="AF42" s="38"/>
      <c r="AG42" s="38"/>
      <c r="AH42" s="2"/>
      <c r="AI42" s="2"/>
    </row>
    <row r="43" spans="1:38" x14ac:dyDescent="0.25">
      <c r="A43" s="5" t="s">
        <v>72</v>
      </c>
      <c r="B43" s="4">
        <v>93058000</v>
      </c>
      <c r="C43" s="4">
        <v>5760000</v>
      </c>
      <c r="D43" s="4">
        <v>2176000</v>
      </c>
      <c r="E43" s="4">
        <f t="shared" si="27"/>
        <v>3584000</v>
      </c>
      <c r="F43" s="4">
        <f>+'202401anual'!D90</f>
        <v>5465000</v>
      </c>
      <c r="G43" s="4">
        <v>2582989</v>
      </c>
      <c r="H43" s="4">
        <f t="shared" si="28"/>
        <v>2882011</v>
      </c>
      <c r="I43" s="4">
        <f>+'202401anual'!E90</f>
        <v>1865000</v>
      </c>
      <c r="J43" s="4">
        <f>+[6]EjecucionPptalPasiva!$Q$290+[6]EjecucionPptalPasiva!$Q$295</f>
        <v>2694465</v>
      </c>
      <c r="K43" s="4">
        <f t="shared" si="37"/>
        <v>-829465</v>
      </c>
      <c r="L43" s="4">
        <f>+'202401anual'!F90</f>
        <v>5465000</v>
      </c>
      <c r="M43" s="4">
        <f>+[5]EjecucionPptalPasiva!$Q$290+[5]EjecucionPptalPasiva!$Q$295</f>
        <v>2686418</v>
      </c>
      <c r="N43" s="4">
        <f t="shared" si="38"/>
        <v>2778582</v>
      </c>
      <c r="O43" s="4">
        <f>+'202401anual'!G90</f>
        <v>5465000</v>
      </c>
      <c r="P43" s="4">
        <v>2813343.24</v>
      </c>
      <c r="Q43" s="4">
        <f t="shared" si="39"/>
        <v>2651656.7599999998</v>
      </c>
      <c r="R43" s="4">
        <f>+'202401anual'!H90</f>
        <v>5465000</v>
      </c>
      <c r="S43" s="4"/>
      <c r="T43" s="4">
        <f t="shared" si="40"/>
        <v>5465000</v>
      </c>
      <c r="U43" s="4"/>
      <c r="V43" s="4"/>
      <c r="W43" s="4"/>
      <c r="X43" s="4"/>
      <c r="Y43" s="4"/>
      <c r="Z43" s="4"/>
      <c r="AA43" s="4">
        <f t="shared" si="41"/>
        <v>29485000</v>
      </c>
      <c r="AB43" s="4">
        <f t="shared" si="41"/>
        <v>12953215.24</v>
      </c>
      <c r="AC43" s="4">
        <f t="shared" si="42"/>
        <v>16531784.76</v>
      </c>
      <c r="AD43" s="43">
        <f t="shared" si="43"/>
        <v>56.068457724266572</v>
      </c>
      <c r="AE43" s="34"/>
      <c r="AF43" s="38"/>
      <c r="AG43" s="38"/>
      <c r="AH43" s="2"/>
      <c r="AI43" s="2"/>
    </row>
    <row r="44" spans="1:38" ht="60" x14ac:dyDescent="0.25">
      <c r="A44" s="21" t="s">
        <v>65</v>
      </c>
      <c r="B44" s="4">
        <v>10140000</v>
      </c>
      <c r="C44" s="4">
        <v>3980000</v>
      </c>
      <c r="D44" s="4">
        <v>0</v>
      </c>
      <c r="E44" s="4">
        <f t="shared" si="27"/>
        <v>3980000</v>
      </c>
      <c r="F44" s="4">
        <f>+'202401anual'!D91</f>
        <v>0</v>
      </c>
      <c r="G44" s="4">
        <v>0</v>
      </c>
      <c r="H44" s="4">
        <f t="shared" si="28"/>
        <v>0</v>
      </c>
      <c r="I44" s="4">
        <f>+'202401anual'!E91</f>
        <v>44250000</v>
      </c>
      <c r="J44" s="4"/>
      <c r="K44" s="4">
        <f t="shared" si="37"/>
        <v>44250000</v>
      </c>
      <c r="L44" s="4">
        <f>+'202401anual'!F91</f>
        <v>0</v>
      </c>
      <c r="M44" s="4">
        <f>+[5]EjecucionPptalPasiva!$O$228</f>
        <v>593000</v>
      </c>
      <c r="N44" s="4">
        <f t="shared" si="38"/>
        <v>-593000</v>
      </c>
      <c r="O44" s="4">
        <f>+'202401anual'!G91</f>
        <v>0</v>
      </c>
      <c r="P44" s="4">
        <v>0</v>
      </c>
      <c r="Q44" s="4">
        <f t="shared" si="39"/>
        <v>0</v>
      </c>
      <c r="R44" s="4">
        <f>+'202401anual'!H91</f>
        <v>16250000</v>
      </c>
      <c r="S44" s="4">
        <v>0</v>
      </c>
      <c r="T44" s="4">
        <f t="shared" si="40"/>
        <v>16250000</v>
      </c>
      <c r="U44" s="4"/>
      <c r="V44" s="4"/>
      <c r="W44" s="4"/>
      <c r="X44" s="4"/>
      <c r="Y44" s="4"/>
      <c r="Z44" s="4"/>
      <c r="AA44" s="4">
        <f t="shared" si="41"/>
        <v>64480000</v>
      </c>
      <c r="AB44" s="4">
        <f t="shared" si="41"/>
        <v>593000</v>
      </c>
      <c r="AC44" s="4">
        <f t="shared" si="42"/>
        <v>63887000</v>
      </c>
      <c r="AD44" s="43">
        <f t="shared" si="43"/>
        <v>99.080334987593062</v>
      </c>
      <c r="AE44" s="34"/>
      <c r="AF44" s="38"/>
      <c r="AG44" s="38"/>
      <c r="AH44" s="2"/>
      <c r="AI44" s="2"/>
    </row>
    <row r="45" spans="1:38" ht="45" x14ac:dyDescent="0.25">
      <c r="A45" s="21" t="s">
        <v>20</v>
      </c>
      <c r="B45" s="4">
        <v>4000000</v>
      </c>
      <c r="C45" s="4">
        <v>0</v>
      </c>
      <c r="D45" s="4">
        <v>0</v>
      </c>
      <c r="E45" s="4">
        <f t="shared" si="27"/>
        <v>0</v>
      </c>
      <c r="F45" s="4">
        <f>+'202401anual'!D92</f>
        <v>0</v>
      </c>
      <c r="G45" s="4">
        <v>0</v>
      </c>
      <c r="H45" s="4">
        <f t="shared" si="28"/>
        <v>0</v>
      </c>
      <c r="I45" s="4">
        <f>+'202401anual'!E92</f>
        <v>0</v>
      </c>
      <c r="J45" s="4"/>
      <c r="K45" s="4">
        <f t="shared" si="37"/>
        <v>0</v>
      </c>
      <c r="L45" s="4">
        <f>+'202401anual'!F92</f>
        <v>0</v>
      </c>
      <c r="M45" s="4">
        <v>0</v>
      </c>
      <c r="N45" s="4">
        <f t="shared" si="38"/>
        <v>0</v>
      </c>
      <c r="O45" s="4">
        <f>+'202401anual'!G92</f>
        <v>0</v>
      </c>
      <c r="P45" s="4">
        <v>0</v>
      </c>
      <c r="Q45" s="4">
        <f t="shared" si="39"/>
        <v>0</v>
      </c>
      <c r="R45" s="4">
        <f>+'202401anual'!H92</f>
        <v>0</v>
      </c>
      <c r="S45" s="4">
        <v>0</v>
      </c>
      <c r="T45" s="4">
        <f t="shared" si="40"/>
        <v>0</v>
      </c>
      <c r="U45" s="4"/>
      <c r="V45" s="4"/>
      <c r="W45" s="4"/>
      <c r="X45" s="4"/>
      <c r="Y45" s="4"/>
      <c r="Z45" s="4"/>
      <c r="AA45" s="4">
        <f t="shared" si="41"/>
        <v>0</v>
      </c>
      <c r="AB45" s="4">
        <f t="shared" si="41"/>
        <v>0</v>
      </c>
      <c r="AC45" s="4">
        <f t="shared" si="42"/>
        <v>0</v>
      </c>
      <c r="AD45" s="43">
        <v>0</v>
      </c>
      <c r="AE45" s="34"/>
      <c r="AF45" s="38"/>
      <c r="AG45" s="38"/>
      <c r="AH45" s="2"/>
      <c r="AI45" s="2"/>
    </row>
    <row r="46" spans="1:38" x14ac:dyDescent="0.25">
      <c r="A46" s="5" t="s">
        <v>21</v>
      </c>
      <c r="B46" s="4">
        <v>13200000</v>
      </c>
      <c r="C46" s="4">
        <v>500000</v>
      </c>
      <c r="D46" s="4">
        <v>0</v>
      </c>
      <c r="E46" s="4">
        <f t="shared" si="27"/>
        <v>500000</v>
      </c>
      <c r="F46" s="4">
        <f>+'202401anual'!D93</f>
        <v>0</v>
      </c>
      <c r="G46" s="4"/>
      <c r="H46" s="4">
        <f t="shared" si="28"/>
        <v>0</v>
      </c>
      <c r="I46" s="4">
        <f>+'202401anual'!E93</f>
        <v>0</v>
      </c>
      <c r="J46" s="4"/>
      <c r="K46" s="4">
        <f t="shared" si="37"/>
        <v>0</v>
      </c>
      <c r="L46" s="4">
        <f>+'202401anual'!F93</f>
        <v>3500000</v>
      </c>
      <c r="M46" s="4">
        <f>+[5]EjecucionPptalPasiva!$O$234</f>
        <v>4758000</v>
      </c>
      <c r="N46" s="4">
        <f t="shared" si="38"/>
        <v>-1258000</v>
      </c>
      <c r="O46" s="4">
        <f>+'202401anual'!G93</f>
        <v>3500000</v>
      </c>
      <c r="P46" s="4">
        <v>0</v>
      </c>
      <c r="Q46" s="4">
        <f t="shared" si="39"/>
        <v>3500000</v>
      </c>
      <c r="R46" s="4">
        <f>+'202401anual'!H93</f>
        <v>3500000</v>
      </c>
      <c r="S46" s="4">
        <v>0</v>
      </c>
      <c r="T46" s="4">
        <f t="shared" si="40"/>
        <v>3500000</v>
      </c>
      <c r="U46" s="4"/>
      <c r="V46" s="4"/>
      <c r="W46" s="4"/>
      <c r="X46" s="4"/>
      <c r="Y46" s="4"/>
      <c r="Z46" s="4"/>
      <c r="AA46" s="4">
        <f t="shared" si="41"/>
        <v>11000000</v>
      </c>
      <c r="AB46" s="4">
        <f t="shared" si="41"/>
        <v>4758000</v>
      </c>
      <c r="AC46" s="4">
        <f t="shared" si="42"/>
        <v>6242000</v>
      </c>
      <c r="AD46" s="43">
        <f t="shared" si="43"/>
        <v>56.745454545454542</v>
      </c>
      <c r="AE46" s="34"/>
      <c r="AF46" s="38"/>
      <c r="AG46" s="38"/>
      <c r="AH46" s="2"/>
      <c r="AI46" s="2"/>
    </row>
    <row r="47" spans="1:38" x14ac:dyDescent="0.25">
      <c r="A47" s="5" t="s">
        <v>22</v>
      </c>
      <c r="B47" s="4">
        <v>16200000</v>
      </c>
      <c r="C47" s="4">
        <v>1350000</v>
      </c>
      <c r="D47" s="4">
        <v>0</v>
      </c>
      <c r="E47" s="4">
        <f t="shared" si="27"/>
        <v>1350000</v>
      </c>
      <c r="F47" s="4">
        <f>+'202401anual'!D94</f>
        <v>0</v>
      </c>
      <c r="G47" s="4"/>
      <c r="H47" s="4">
        <f t="shared" si="28"/>
        <v>0</v>
      </c>
      <c r="I47" s="4">
        <f>+'202401anual'!E94</f>
        <v>11993500</v>
      </c>
      <c r="J47" s="4"/>
      <c r="K47" s="4">
        <f t="shared" si="37"/>
        <v>11993500</v>
      </c>
      <c r="L47" s="4">
        <f>+'202401anual'!F94</f>
        <v>428500</v>
      </c>
      <c r="M47" s="4">
        <v>0</v>
      </c>
      <c r="N47" s="4">
        <f t="shared" si="38"/>
        <v>428500</v>
      </c>
      <c r="O47" s="4">
        <f>+'202401anual'!G94</f>
        <v>428500</v>
      </c>
      <c r="P47" s="4">
        <f>1341600+382141.97-2695000+10110500</f>
        <v>9139241.9700000007</v>
      </c>
      <c r="Q47" s="4">
        <f t="shared" si="39"/>
        <v>-8710741.9700000007</v>
      </c>
      <c r="R47" s="4">
        <f>+'202401anual'!H94</f>
        <v>428500</v>
      </c>
      <c r="S47" s="4"/>
      <c r="T47" s="4">
        <f t="shared" si="40"/>
        <v>428500</v>
      </c>
      <c r="U47" s="4"/>
      <c r="V47" s="4"/>
      <c r="W47" s="4"/>
      <c r="X47" s="4"/>
      <c r="Y47" s="4"/>
      <c r="Z47" s="4"/>
      <c r="AA47" s="4">
        <f t="shared" si="41"/>
        <v>14629000</v>
      </c>
      <c r="AB47" s="4">
        <f t="shared" si="41"/>
        <v>9139241.9700000007</v>
      </c>
      <c r="AC47" s="4">
        <f t="shared" si="42"/>
        <v>5489758.0299999993</v>
      </c>
      <c r="AD47" s="43">
        <f t="shared" si="43"/>
        <v>37.526543372752748</v>
      </c>
      <c r="AE47" s="34"/>
      <c r="AF47" s="38"/>
      <c r="AG47" s="38"/>
      <c r="AH47" s="2"/>
      <c r="AI47" s="2"/>
    </row>
    <row r="48" spans="1:38" x14ac:dyDescent="0.25">
      <c r="A48" s="21" t="s">
        <v>85</v>
      </c>
      <c r="B48" s="4">
        <v>6000000</v>
      </c>
      <c r="C48" s="4">
        <v>500000</v>
      </c>
      <c r="D48" s="4">
        <v>466260</v>
      </c>
      <c r="E48" s="4">
        <f t="shared" si="27"/>
        <v>33740</v>
      </c>
      <c r="F48" s="4">
        <f>+'202401anual'!D95</f>
        <v>666666.66666666663</v>
      </c>
      <c r="G48" s="4">
        <v>762230</v>
      </c>
      <c r="H48" s="4">
        <f t="shared" si="28"/>
        <v>-95563.333333333372</v>
      </c>
      <c r="I48" s="4">
        <f>+'202401anual'!E95</f>
        <v>666666.66666666663</v>
      </c>
      <c r="J48" s="4">
        <f>+[6]EjecucionPptalPasiva!$Q$285</f>
        <v>610639</v>
      </c>
      <c r="K48" s="4">
        <f t="shared" si="37"/>
        <v>56027.666666666628</v>
      </c>
      <c r="L48" s="4">
        <f>+'202401anual'!F95</f>
        <v>666666.66666666663</v>
      </c>
      <c r="M48" s="4">
        <f>+[5]EjecucionPptalPasiva!$Q$285</f>
        <v>703510</v>
      </c>
      <c r="N48" s="4">
        <f t="shared" si="38"/>
        <v>-36843.333333333372</v>
      </c>
      <c r="O48" s="4">
        <f>+'202401anual'!G95</f>
        <v>666666.66666666663</v>
      </c>
      <c r="P48" s="4">
        <v>610873</v>
      </c>
      <c r="Q48" s="4">
        <f t="shared" si="39"/>
        <v>55793.666666666628</v>
      </c>
      <c r="R48" s="4">
        <f>+'202401anual'!H95</f>
        <v>666666.66666666663</v>
      </c>
      <c r="S48" s="4"/>
      <c r="T48" s="4">
        <f t="shared" si="40"/>
        <v>666666.66666666663</v>
      </c>
      <c r="U48" s="4"/>
      <c r="V48" s="4"/>
      <c r="W48" s="4"/>
      <c r="X48" s="4"/>
      <c r="Y48" s="4"/>
      <c r="Z48" s="4"/>
      <c r="AA48" s="4">
        <f t="shared" si="41"/>
        <v>3833333.3333333326</v>
      </c>
      <c r="AB48" s="4">
        <f t="shared" si="41"/>
        <v>3153512</v>
      </c>
      <c r="AC48" s="4">
        <f t="shared" si="42"/>
        <v>679821.33333333256</v>
      </c>
      <c r="AD48" s="43">
        <f t="shared" si="43"/>
        <v>17.734469565217374</v>
      </c>
      <c r="AE48" s="34"/>
      <c r="AF48" s="38"/>
      <c r="AG48" s="38"/>
      <c r="AH48" s="2"/>
      <c r="AI48" s="2"/>
    </row>
    <row r="49" spans="1:35" x14ac:dyDescent="0.25">
      <c r="A49" s="5" t="s">
        <v>23</v>
      </c>
      <c r="B49" s="4">
        <v>12892000</v>
      </c>
      <c r="C49" s="4">
        <v>0</v>
      </c>
      <c r="D49" s="4">
        <v>0</v>
      </c>
      <c r="E49" s="4">
        <f t="shared" si="27"/>
        <v>0</v>
      </c>
      <c r="F49" s="4">
        <f>+'202401anual'!D96</f>
        <v>13000000</v>
      </c>
      <c r="G49" s="4"/>
      <c r="H49" s="4">
        <f t="shared" si="28"/>
        <v>13000000</v>
      </c>
      <c r="I49" s="4">
        <f>+'202401anual'!E96</f>
        <v>0</v>
      </c>
      <c r="J49" s="4"/>
      <c r="K49" s="4">
        <f t="shared" si="37"/>
        <v>0</v>
      </c>
      <c r="L49" s="4">
        <f>+'202401anual'!F96</f>
        <v>0</v>
      </c>
      <c r="M49" s="4">
        <v>0</v>
      </c>
      <c r="N49" s="4">
        <f t="shared" si="38"/>
        <v>0</v>
      </c>
      <c r="O49" s="4">
        <f>+'202401anual'!G96</f>
        <v>13000000</v>
      </c>
      <c r="P49" s="4">
        <v>527000</v>
      </c>
      <c r="Q49" s="4">
        <f t="shared" si="39"/>
        <v>12473000</v>
      </c>
      <c r="R49" s="4">
        <f>+'202401anual'!H96</f>
        <v>13000000</v>
      </c>
      <c r="S49" s="4"/>
      <c r="T49" s="4">
        <f t="shared" si="40"/>
        <v>13000000</v>
      </c>
      <c r="U49" s="4"/>
      <c r="V49" s="4"/>
      <c r="W49" s="4"/>
      <c r="X49" s="4"/>
      <c r="Y49" s="4"/>
      <c r="Z49" s="4"/>
      <c r="AA49" s="4">
        <f t="shared" si="41"/>
        <v>39000000</v>
      </c>
      <c r="AB49" s="4">
        <f t="shared" si="41"/>
        <v>527000</v>
      </c>
      <c r="AC49" s="4">
        <f t="shared" si="42"/>
        <v>38473000</v>
      </c>
      <c r="AD49" s="43">
        <v>0</v>
      </c>
      <c r="AE49" s="34"/>
      <c r="AF49" s="38"/>
      <c r="AG49" s="38"/>
      <c r="AH49" s="2"/>
      <c r="AI49" s="2"/>
    </row>
    <row r="50" spans="1:35" ht="30" x14ac:dyDescent="0.25">
      <c r="A50" s="21" t="s">
        <v>37</v>
      </c>
      <c r="B50" s="4">
        <v>47040000</v>
      </c>
      <c r="C50" s="4">
        <v>3920000</v>
      </c>
      <c r="D50" s="4">
        <v>4201894</v>
      </c>
      <c r="E50" s="4">
        <f t="shared" si="27"/>
        <v>-281894</v>
      </c>
      <c r="F50" s="4">
        <f>+'202401anual'!D98</f>
        <v>6463000</v>
      </c>
      <c r="G50" s="4">
        <v>4201894</v>
      </c>
      <c r="H50" s="4">
        <f t="shared" si="28"/>
        <v>2261106</v>
      </c>
      <c r="I50" s="4">
        <f>+'202401anual'!E98</f>
        <v>6463000</v>
      </c>
      <c r="J50" s="4">
        <v>4201894</v>
      </c>
      <c r="K50" s="4">
        <f t="shared" si="37"/>
        <v>2261106</v>
      </c>
      <c r="L50" s="4">
        <f>+'202401anual'!F98</f>
        <v>6463000</v>
      </c>
      <c r="M50" s="4">
        <v>4201894</v>
      </c>
      <c r="N50" s="4">
        <f t="shared" si="38"/>
        <v>2261106</v>
      </c>
      <c r="O50" s="4">
        <f>+'202401anual'!G98</f>
        <v>10925600</v>
      </c>
      <c r="P50" s="4">
        <v>4201894</v>
      </c>
      <c r="Q50" s="4">
        <f t="shared" si="39"/>
        <v>6723706</v>
      </c>
      <c r="R50" s="4">
        <f>+'202401anual'!H98</f>
        <v>6463000</v>
      </c>
      <c r="S50" s="4"/>
      <c r="T50" s="4">
        <f t="shared" si="40"/>
        <v>6463000</v>
      </c>
      <c r="U50" s="4"/>
      <c r="V50" s="4"/>
      <c r="W50" s="4"/>
      <c r="X50" s="4"/>
      <c r="Y50" s="4"/>
      <c r="Z50" s="4"/>
      <c r="AA50" s="4">
        <f t="shared" si="41"/>
        <v>40697600</v>
      </c>
      <c r="AB50" s="4">
        <f t="shared" si="41"/>
        <v>21009470</v>
      </c>
      <c r="AC50" s="4">
        <f t="shared" si="42"/>
        <v>19688130</v>
      </c>
      <c r="AD50" s="43">
        <f t="shared" si="43"/>
        <v>48.376636460135245</v>
      </c>
      <c r="AE50" s="34">
        <f>+D50+D53+D85+D86</f>
        <v>63447894</v>
      </c>
      <c r="AF50" s="38">
        <f>+C50+C52+C53+C54+C58+C66+C74+C85+C86</f>
        <v>83125000</v>
      </c>
      <c r="AG50" s="38"/>
      <c r="AH50" s="2"/>
      <c r="AI50" s="2"/>
    </row>
    <row r="51" spans="1:35" ht="30" hidden="1" x14ac:dyDescent="0.25">
      <c r="A51" s="21" t="s">
        <v>24</v>
      </c>
      <c r="B51" s="4"/>
      <c r="C51" s="4">
        <v>0</v>
      </c>
      <c r="D51" s="4">
        <v>0</v>
      </c>
      <c r="E51" s="4">
        <f t="shared" si="27"/>
        <v>0</v>
      </c>
      <c r="F51" s="4">
        <f>+'202401anual'!D99</f>
        <v>0</v>
      </c>
      <c r="G51" s="4"/>
      <c r="H51" s="4">
        <f t="shared" si="28"/>
        <v>0</v>
      </c>
      <c r="I51" s="4">
        <f>+'202401anual'!E99</f>
        <v>0</v>
      </c>
      <c r="J51" s="4"/>
      <c r="K51" s="4">
        <f t="shared" si="37"/>
        <v>0</v>
      </c>
      <c r="L51" s="4">
        <f>+'202401anual'!F99</f>
        <v>0</v>
      </c>
      <c r="M51" s="4"/>
      <c r="N51" s="4">
        <f t="shared" si="38"/>
        <v>0</v>
      </c>
      <c r="O51" s="4">
        <f>+'202401anual'!G99</f>
        <v>0</v>
      </c>
      <c r="P51" s="4"/>
      <c r="Q51" s="4">
        <f t="shared" si="39"/>
        <v>0</v>
      </c>
      <c r="R51" s="4">
        <f>+'202401anual'!H99</f>
        <v>0</v>
      </c>
      <c r="S51" s="4"/>
      <c r="T51" s="4">
        <f t="shared" si="40"/>
        <v>0</v>
      </c>
      <c r="U51" s="4"/>
      <c r="V51" s="4"/>
      <c r="W51" s="4"/>
      <c r="X51" s="4"/>
      <c r="Y51" s="4"/>
      <c r="Z51" s="4"/>
      <c r="AA51" s="4">
        <f t="shared" si="41"/>
        <v>0</v>
      </c>
      <c r="AB51" s="4">
        <f t="shared" si="41"/>
        <v>0</v>
      </c>
      <c r="AC51" s="4">
        <f t="shared" si="42"/>
        <v>0</v>
      </c>
      <c r="AD51" s="43" t="e">
        <f t="shared" si="43"/>
        <v>#DIV/0!</v>
      </c>
      <c r="AE51" s="34"/>
      <c r="AF51" s="38"/>
      <c r="AG51" s="38"/>
      <c r="AH51" s="2"/>
      <c r="AI51" s="2"/>
    </row>
    <row r="52" spans="1:35" x14ac:dyDescent="0.25">
      <c r="A52" s="21" t="s">
        <v>25</v>
      </c>
      <c r="B52" s="4">
        <v>39840000</v>
      </c>
      <c r="C52" s="4">
        <v>3320000</v>
      </c>
      <c r="D52" s="4">
        <v>0</v>
      </c>
      <c r="E52" s="4">
        <f t="shared" si="27"/>
        <v>3320000</v>
      </c>
      <c r="F52" s="4">
        <f>+'202401anual'!D100</f>
        <v>3789200</v>
      </c>
      <c r="G52" s="4">
        <v>3567900</v>
      </c>
      <c r="H52" s="4">
        <f t="shared" si="28"/>
        <v>221300</v>
      </c>
      <c r="I52" s="4">
        <f>+'202401anual'!E100</f>
        <v>3789200</v>
      </c>
      <c r="J52" s="4">
        <v>3567900</v>
      </c>
      <c r="K52" s="4">
        <f t="shared" si="37"/>
        <v>221300</v>
      </c>
      <c r="L52" s="4">
        <f>+'202401anual'!F100</f>
        <v>4623000</v>
      </c>
      <c r="M52" s="4">
        <v>0</v>
      </c>
      <c r="N52" s="4">
        <f t="shared" si="38"/>
        <v>4623000</v>
      </c>
      <c r="O52" s="4">
        <f>+'202401anual'!G100</f>
        <v>8789200</v>
      </c>
      <c r="P52" s="4">
        <f>3567900*2</f>
        <v>7135800</v>
      </c>
      <c r="Q52" s="4">
        <f t="shared" si="39"/>
        <v>1653400</v>
      </c>
      <c r="R52" s="4">
        <f>+'202401anual'!H100</f>
        <v>3789200</v>
      </c>
      <c r="S52" s="4"/>
      <c r="T52" s="4">
        <f t="shared" si="40"/>
        <v>3789200</v>
      </c>
      <c r="U52" s="4"/>
      <c r="V52" s="4"/>
      <c r="W52" s="4"/>
      <c r="X52" s="4"/>
      <c r="Y52" s="4"/>
      <c r="Z52" s="4"/>
      <c r="AA52" s="4">
        <f t="shared" si="41"/>
        <v>28099800</v>
      </c>
      <c r="AB52" s="4">
        <f t="shared" si="41"/>
        <v>14271600</v>
      </c>
      <c r="AC52" s="4">
        <f t="shared" si="42"/>
        <v>13828200</v>
      </c>
      <c r="AD52" s="43">
        <f t="shared" si="43"/>
        <v>49.211026412999381</v>
      </c>
      <c r="AE52" s="34"/>
      <c r="AF52" s="38"/>
      <c r="AG52" s="38"/>
      <c r="AH52" s="2"/>
      <c r="AI52" s="2"/>
    </row>
    <row r="53" spans="1:35" x14ac:dyDescent="0.25">
      <c r="A53" s="5" t="s">
        <v>60</v>
      </c>
      <c r="B53" s="4">
        <v>40200000</v>
      </c>
      <c r="C53" s="4">
        <v>3350000</v>
      </c>
      <c r="D53" s="4">
        <v>3350000</v>
      </c>
      <c r="E53" s="4">
        <f t="shared" si="27"/>
        <v>0</v>
      </c>
      <c r="F53" s="4">
        <f>+'202401anual'!D102</f>
        <v>3789200</v>
      </c>
      <c r="G53" s="4">
        <v>3764068</v>
      </c>
      <c r="H53" s="4">
        <f t="shared" si="28"/>
        <v>25132</v>
      </c>
      <c r="I53" s="4">
        <f>+'202401anual'!E102</f>
        <v>3789200</v>
      </c>
      <c r="J53" s="4">
        <v>3557034</v>
      </c>
      <c r="K53" s="4">
        <f t="shared" si="37"/>
        <v>232166</v>
      </c>
      <c r="L53" s="4">
        <f>+'202401anual'!F102</f>
        <v>3789200</v>
      </c>
      <c r="M53" s="4">
        <v>3557034</v>
      </c>
      <c r="N53" s="4">
        <f t="shared" si="38"/>
        <v>232166</v>
      </c>
      <c r="O53" s="4">
        <f>+'202401anual'!G102</f>
        <v>3789200</v>
      </c>
      <c r="P53" s="4">
        <v>3557034</v>
      </c>
      <c r="Q53" s="4">
        <f t="shared" si="39"/>
        <v>232166</v>
      </c>
      <c r="R53" s="4">
        <f>+'202401anual'!H102</f>
        <v>3789200</v>
      </c>
      <c r="S53" s="4"/>
      <c r="T53" s="4">
        <f t="shared" si="40"/>
        <v>3789200</v>
      </c>
      <c r="U53" s="4"/>
      <c r="V53" s="4"/>
      <c r="W53" s="4"/>
      <c r="X53" s="4"/>
      <c r="Y53" s="4"/>
      <c r="Z53" s="4"/>
      <c r="AA53" s="4">
        <f t="shared" si="41"/>
        <v>22296000</v>
      </c>
      <c r="AB53" s="4">
        <f t="shared" si="41"/>
        <v>17785170</v>
      </c>
      <c r="AC53" s="4">
        <f t="shared" si="42"/>
        <v>4510830</v>
      </c>
      <c r="AD53" s="43">
        <f t="shared" si="43"/>
        <v>20.231566200215283</v>
      </c>
      <c r="AE53" s="34"/>
      <c r="AF53" s="38"/>
      <c r="AG53" s="38"/>
      <c r="AH53" s="2"/>
      <c r="AI53" s="2"/>
    </row>
    <row r="54" spans="1:35" x14ac:dyDescent="0.25">
      <c r="A54" s="5" t="s">
        <v>26</v>
      </c>
      <c r="B54" s="4">
        <v>40080000</v>
      </c>
      <c r="C54" s="4">
        <v>3340000</v>
      </c>
      <c r="D54" s="4">
        <v>0</v>
      </c>
      <c r="E54" s="4">
        <f t="shared" si="27"/>
        <v>3340000</v>
      </c>
      <c r="F54" s="4">
        <f>+'202401anual'!D103</f>
        <v>0</v>
      </c>
      <c r="G54" s="4">
        <v>3567900</v>
      </c>
      <c r="H54" s="4">
        <f t="shared" si="28"/>
        <v>-3567900</v>
      </c>
      <c r="I54" s="4">
        <f>+'202401anual'!E103</f>
        <v>0</v>
      </c>
      <c r="J54" s="4">
        <v>3567900</v>
      </c>
      <c r="K54" s="4">
        <f t="shared" si="37"/>
        <v>-3567900</v>
      </c>
      <c r="L54" s="4">
        <f>+'202401anual'!F103</f>
        <v>0</v>
      </c>
      <c r="M54" s="4">
        <v>3567900</v>
      </c>
      <c r="N54" s="4">
        <f t="shared" si="38"/>
        <v>-3567900</v>
      </c>
      <c r="O54" s="4">
        <f>+'202401anual'!G103</f>
        <v>0</v>
      </c>
      <c r="P54" s="4">
        <v>3567900</v>
      </c>
      <c r="Q54" s="4">
        <f t="shared" si="39"/>
        <v>-3567900</v>
      </c>
      <c r="R54" s="4">
        <f>+'202401anual'!H103</f>
        <v>0</v>
      </c>
      <c r="S54" s="4"/>
      <c r="T54" s="4">
        <f t="shared" si="40"/>
        <v>0</v>
      </c>
      <c r="U54" s="4"/>
      <c r="V54" s="4"/>
      <c r="W54" s="4"/>
      <c r="X54" s="4"/>
      <c r="Y54" s="4"/>
      <c r="Z54" s="4"/>
      <c r="AA54" s="4">
        <f t="shared" si="41"/>
        <v>3340000</v>
      </c>
      <c r="AB54" s="4">
        <f t="shared" si="41"/>
        <v>14271600</v>
      </c>
      <c r="AC54" s="4">
        <f t="shared" si="42"/>
        <v>-10931600</v>
      </c>
      <c r="AD54" s="43">
        <f t="shared" si="43"/>
        <v>-327.29341317365265</v>
      </c>
      <c r="AE54" s="34"/>
      <c r="AF54" s="38"/>
      <c r="AG54" s="38"/>
      <c r="AH54" s="2"/>
      <c r="AI54" s="2"/>
    </row>
    <row r="55" spans="1:35" x14ac:dyDescent="0.25">
      <c r="A55" s="5" t="s">
        <v>92</v>
      </c>
      <c r="B55" s="4">
        <v>70450000</v>
      </c>
      <c r="C55" s="4">
        <v>1700000</v>
      </c>
      <c r="D55" s="4">
        <v>0</v>
      </c>
      <c r="E55" s="4">
        <f t="shared" si="27"/>
        <v>1700000</v>
      </c>
      <c r="F55" s="4">
        <f>+'202401anual'!D104</f>
        <v>8208393.166666667</v>
      </c>
      <c r="G55" s="4"/>
      <c r="H55" s="4">
        <f t="shared" si="28"/>
        <v>8208393.166666667</v>
      </c>
      <c r="I55" s="4">
        <f>+'202401anual'!E104</f>
        <v>8208393.166666667</v>
      </c>
      <c r="J55" s="4"/>
      <c r="K55" s="4">
        <f t="shared" si="37"/>
        <v>8208393.166666667</v>
      </c>
      <c r="L55" s="4">
        <f>+'202401anual'!F104</f>
        <v>8208393.166666667</v>
      </c>
      <c r="M55" s="4">
        <f>+[5]EjecucionPptalPasiva!$Q$399</f>
        <v>1400000</v>
      </c>
      <c r="N55" s="4">
        <f t="shared" si="38"/>
        <v>6808393.166666667</v>
      </c>
      <c r="O55" s="4">
        <f>+'202401anual'!G104</f>
        <v>8208393.166666667</v>
      </c>
      <c r="P55" s="4">
        <v>0</v>
      </c>
      <c r="Q55" s="4">
        <f t="shared" si="39"/>
        <v>8208393.166666667</v>
      </c>
      <c r="R55" s="4">
        <f>+'202401anual'!H104</f>
        <v>8208393.166666667</v>
      </c>
      <c r="S55" s="4"/>
      <c r="T55" s="4">
        <f t="shared" si="40"/>
        <v>8208393.166666667</v>
      </c>
      <c r="U55" s="4"/>
      <c r="V55" s="4"/>
      <c r="W55" s="4"/>
      <c r="X55" s="4"/>
      <c r="Y55" s="4"/>
      <c r="Z55" s="4"/>
      <c r="AA55" s="4">
        <f t="shared" si="41"/>
        <v>42741965.833333336</v>
      </c>
      <c r="AB55" s="4">
        <f t="shared" si="41"/>
        <v>1400000</v>
      </c>
      <c r="AC55" s="4">
        <f t="shared" si="42"/>
        <v>41341965.833333336</v>
      </c>
      <c r="AD55" s="43">
        <f t="shared" si="43"/>
        <v>96.724530627676046</v>
      </c>
      <c r="AE55" s="34"/>
      <c r="AF55" s="38"/>
      <c r="AG55" s="38"/>
      <c r="AH55" s="2"/>
      <c r="AI55" s="2"/>
    </row>
    <row r="56" spans="1:35" x14ac:dyDescent="0.25">
      <c r="A56" s="5" t="s">
        <v>73</v>
      </c>
      <c r="B56" s="4">
        <v>500000</v>
      </c>
      <c r="C56" s="4">
        <v>0</v>
      </c>
      <c r="D56" s="4">
        <v>0</v>
      </c>
      <c r="E56" s="4">
        <f t="shared" si="27"/>
        <v>0</v>
      </c>
      <c r="F56" s="4">
        <f>+'202401anual'!D105</f>
        <v>500000</v>
      </c>
      <c r="G56" s="4"/>
      <c r="H56" s="4">
        <f t="shared" si="28"/>
        <v>500000</v>
      </c>
      <c r="I56" s="4">
        <f>+'202401anual'!E105</f>
        <v>500000</v>
      </c>
      <c r="J56" s="4"/>
      <c r="K56" s="4">
        <f t="shared" si="37"/>
        <v>500000</v>
      </c>
      <c r="L56" s="4">
        <f>+'202401anual'!F105</f>
        <v>500000</v>
      </c>
      <c r="M56" s="4">
        <v>0</v>
      </c>
      <c r="N56" s="4">
        <f t="shared" si="38"/>
        <v>500000</v>
      </c>
      <c r="O56" s="4">
        <f>+'202401anual'!G105</f>
        <v>500000</v>
      </c>
      <c r="P56" s="4">
        <v>0</v>
      </c>
      <c r="Q56" s="4">
        <f t="shared" si="39"/>
        <v>500000</v>
      </c>
      <c r="R56" s="4">
        <f>+'202401anual'!H105</f>
        <v>500000</v>
      </c>
      <c r="S56" s="4"/>
      <c r="T56" s="4">
        <f t="shared" si="40"/>
        <v>500000</v>
      </c>
      <c r="U56" s="4"/>
      <c r="V56" s="4"/>
      <c r="W56" s="4"/>
      <c r="X56" s="4"/>
      <c r="Y56" s="4"/>
      <c r="Z56" s="4"/>
      <c r="AA56" s="4">
        <f t="shared" si="41"/>
        <v>2500000</v>
      </c>
      <c r="AB56" s="4">
        <f t="shared" si="41"/>
        <v>0</v>
      </c>
      <c r="AC56" s="4">
        <f t="shared" si="42"/>
        <v>2500000</v>
      </c>
      <c r="AD56" s="43">
        <v>0</v>
      </c>
      <c r="AE56" s="34"/>
      <c r="AF56" s="38"/>
      <c r="AG56" s="38"/>
      <c r="AH56" s="2"/>
      <c r="AI56" s="2"/>
    </row>
    <row r="57" spans="1:35" x14ac:dyDescent="0.25">
      <c r="A57" s="5" t="s">
        <v>27</v>
      </c>
      <c r="B57" s="4">
        <v>11377300</v>
      </c>
      <c r="C57" s="4">
        <v>0</v>
      </c>
      <c r="D57" s="4">
        <v>0</v>
      </c>
      <c r="E57" s="4">
        <f t="shared" si="27"/>
        <v>0</v>
      </c>
      <c r="F57" s="4">
        <f>+'202401anual'!D106</f>
        <v>0</v>
      </c>
      <c r="G57" s="4"/>
      <c r="H57" s="4">
        <f t="shared" si="28"/>
        <v>0</v>
      </c>
      <c r="I57" s="4">
        <f>+'202401anual'!E106</f>
        <v>0</v>
      </c>
      <c r="J57" s="4">
        <f>+[6]EjecucionPptalPasiva!$Q$287</f>
        <v>1070000</v>
      </c>
      <c r="K57" s="4">
        <f t="shared" si="37"/>
        <v>-1070000</v>
      </c>
      <c r="L57" s="4">
        <f>+'202401anual'!F106</f>
        <v>0</v>
      </c>
      <c r="M57" s="4">
        <v>0</v>
      </c>
      <c r="N57" s="4">
        <f t="shared" si="38"/>
        <v>0</v>
      </c>
      <c r="O57" s="4">
        <f>+'202401anual'!G106</f>
        <v>0</v>
      </c>
      <c r="P57" s="4">
        <v>0</v>
      </c>
      <c r="Q57" s="4">
        <f t="shared" si="39"/>
        <v>0</v>
      </c>
      <c r="R57" s="4">
        <f>+'202401anual'!H106</f>
        <v>1090000</v>
      </c>
      <c r="S57" s="4"/>
      <c r="T57" s="4">
        <f t="shared" si="40"/>
        <v>1090000</v>
      </c>
      <c r="U57" s="4"/>
      <c r="V57" s="4"/>
      <c r="W57" s="4"/>
      <c r="X57" s="4"/>
      <c r="Y57" s="4"/>
      <c r="Z57" s="4"/>
      <c r="AA57" s="4">
        <f t="shared" si="41"/>
        <v>1090000</v>
      </c>
      <c r="AB57" s="4">
        <f t="shared" si="41"/>
        <v>1070000</v>
      </c>
      <c r="AC57" s="4">
        <f t="shared" si="42"/>
        <v>20000</v>
      </c>
      <c r="AD57" s="43">
        <v>0</v>
      </c>
      <c r="AE57" s="34"/>
      <c r="AF57" s="38"/>
      <c r="AG57" s="38"/>
      <c r="AH57" s="2"/>
      <c r="AI57" s="2"/>
    </row>
    <row r="58" spans="1:35" x14ac:dyDescent="0.25">
      <c r="A58" s="5" t="s">
        <v>74</v>
      </c>
      <c r="B58" s="4">
        <v>46000000</v>
      </c>
      <c r="C58" s="4">
        <v>2000000</v>
      </c>
      <c r="D58" s="4">
        <v>0</v>
      </c>
      <c r="E58" s="4">
        <f t="shared" si="27"/>
        <v>2000000</v>
      </c>
      <c r="F58" s="4">
        <f>+'202401anual'!D107</f>
        <v>0</v>
      </c>
      <c r="G58" s="4"/>
      <c r="H58" s="4">
        <f t="shared" si="28"/>
        <v>0</v>
      </c>
      <c r="I58" s="4">
        <f>+'202401anual'!E107</f>
        <v>0</v>
      </c>
      <c r="J58" s="4"/>
      <c r="K58" s="4">
        <f t="shared" si="37"/>
        <v>0</v>
      </c>
      <c r="L58" s="4">
        <f>+'202401anual'!F107</f>
        <v>0</v>
      </c>
      <c r="M58" s="4">
        <v>0</v>
      </c>
      <c r="N58" s="4">
        <f t="shared" si="38"/>
        <v>0</v>
      </c>
      <c r="O58" s="4">
        <f>+'202401anual'!G107</f>
        <v>0</v>
      </c>
      <c r="P58" s="4">
        <v>0</v>
      </c>
      <c r="Q58" s="4">
        <f t="shared" si="39"/>
        <v>0</v>
      </c>
      <c r="R58" s="4">
        <f>+'202401anual'!H107</f>
        <v>3000000</v>
      </c>
      <c r="S58" s="4"/>
      <c r="T58" s="4">
        <f t="shared" si="40"/>
        <v>3000000</v>
      </c>
      <c r="U58" s="4"/>
      <c r="V58" s="4"/>
      <c r="W58" s="4"/>
      <c r="X58" s="4"/>
      <c r="Y58" s="4"/>
      <c r="Z58" s="4"/>
      <c r="AA58" s="4">
        <f t="shared" si="41"/>
        <v>5000000</v>
      </c>
      <c r="AB58" s="4">
        <f t="shared" si="41"/>
        <v>0</v>
      </c>
      <c r="AC58" s="4">
        <f t="shared" si="42"/>
        <v>5000000</v>
      </c>
      <c r="AD58" s="43">
        <f t="shared" si="43"/>
        <v>100</v>
      </c>
      <c r="AE58" s="34"/>
      <c r="AF58" s="38"/>
      <c r="AG58" s="38"/>
      <c r="AH58" s="2"/>
      <c r="AI58" s="2"/>
    </row>
    <row r="59" spans="1:35" hidden="1" x14ac:dyDescent="0.25">
      <c r="A59" s="5" t="s">
        <v>28</v>
      </c>
      <c r="B59" s="4"/>
      <c r="C59" s="4">
        <v>0</v>
      </c>
      <c r="D59" s="4">
        <v>0</v>
      </c>
      <c r="E59" s="4">
        <f t="shared" si="27"/>
        <v>0</v>
      </c>
      <c r="F59" s="4">
        <f>+'202401anual'!D108</f>
        <v>0</v>
      </c>
      <c r="G59" s="4"/>
      <c r="H59" s="4">
        <f t="shared" si="28"/>
        <v>0</v>
      </c>
      <c r="I59" s="4">
        <f>+'202401anual'!E108</f>
        <v>0</v>
      </c>
      <c r="J59" s="4"/>
      <c r="K59" s="4">
        <f t="shared" si="37"/>
        <v>0</v>
      </c>
      <c r="L59" s="4">
        <f>+'202401anual'!F108</f>
        <v>0</v>
      </c>
      <c r="M59" s="4"/>
      <c r="N59" s="4">
        <f t="shared" si="38"/>
        <v>0</v>
      </c>
      <c r="O59" s="4">
        <f>+'202401anual'!G108</f>
        <v>0</v>
      </c>
      <c r="P59" s="4"/>
      <c r="Q59" s="4">
        <f t="shared" si="39"/>
        <v>0</v>
      </c>
      <c r="R59" s="4">
        <f>+'202401anual'!H108</f>
        <v>0</v>
      </c>
      <c r="S59" s="4"/>
      <c r="T59" s="4">
        <f t="shared" si="40"/>
        <v>0</v>
      </c>
      <c r="U59" s="4"/>
      <c r="V59" s="4"/>
      <c r="W59" s="4"/>
      <c r="X59" s="4"/>
      <c r="Y59" s="4"/>
      <c r="Z59" s="4"/>
      <c r="AA59" s="4">
        <f t="shared" si="41"/>
        <v>0</v>
      </c>
      <c r="AB59" s="4">
        <f t="shared" si="41"/>
        <v>0</v>
      </c>
      <c r="AC59" s="4">
        <f t="shared" si="42"/>
        <v>0</v>
      </c>
      <c r="AD59" s="43" t="e">
        <f t="shared" si="43"/>
        <v>#DIV/0!</v>
      </c>
      <c r="AE59" s="34"/>
      <c r="AF59" s="38"/>
      <c r="AG59" s="38"/>
      <c r="AH59" s="2"/>
      <c r="AI59" s="2"/>
    </row>
    <row r="60" spans="1:35" hidden="1" x14ac:dyDescent="0.25">
      <c r="A60" s="5" t="s">
        <v>29</v>
      </c>
      <c r="B60" s="4"/>
      <c r="C60" s="4"/>
      <c r="D60" s="4"/>
      <c r="E60" s="4">
        <f t="shared" si="27"/>
        <v>0</v>
      </c>
      <c r="F60" s="4">
        <f>+'202401anual'!D109</f>
        <v>0</v>
      </c>
      <c r="G60" s="4"/>
      <c r="H60" s="4">
        <f t="shared" si="28"/>
        <v>0</v>
      </c>
      <c r="I60" s="4">
        <f>+'202401anual'!E109</f>
        <v>0</v>
      </c>
      <c r="J60" s="4"/>
      <c r="K60" s="4">
        <f t="shared" si="37"/>
        <v>0</v>
      </c>
      <c r="L60" s="4">
        <f>+'202401anual'!F109</f>
        <v>0</v>
      </c>
      <c r="M60" s="4"/>
      <c r="N60" s="4">
        <f t="shared" si="38"/>
        <v>0</v>
      </c>
      <c r="O60" s="4">
        <f>+'202401anual'!G109</f>
        <v>0</v>
      </c>
      <c r="P60" s="4"/>
      <c r="Q60" s="4">
        <f t="shared" si="39"/>
        <v>0</v>
      </c>
      <c r="R60" s="4">
        <f>+'202401anual'!H109</f>
        <v>0</v>
      </c>
      <c r="S60" s="4"/>
      <c r="T60" s="4">
        <f t="shared" si="40"/>
        <v>0</v>
      </c>
      <c r="U60" s="4"/>
      <c r="V60" s="4"/>
      <c r="W60" s="4"/>
      <c r="X60" s="4"/>
      <c r="Y60" s="4"/>
      <c r="Z60" s="4"/>
      <c r="AA60" s="4">
        <f t="shared" si="41"/>
        <v>0</v>
      </c>
      <c r="AB60" s="4">
        <f t="shared" si="41"/>
        <v>0</v>
      </c>
      <c r="AC60" s="4">
        <f t="shared" si="42"/>
        <v>0</v>
      </c>
      <c r="AD60" s="43" t="e">
        <f t="shared" si="43"/>
        <v>#DIV/0!</v>
      </c>
      <c r="AE60" s="34"/>
      <c r="AF60" s="38"/>
      <c r="AG60" s="38"/>
      <c r="AH60" s="2"/>
      <c r="AI60" s="2"/>
    </row>
    <row r="61" spans="1:35" x14ac:dyDescent="0.25">
      <c r="A61" s="5" t="s">
        <v>69</v>
      </c>
      <c r="B61" s="4">
        <v>61200000</v>
      </c>
      <c r="C61" s="4">
        <v>100000</v>
      </c>
      <c r="D61" s="4">
        <v>0</v>
      </c>
      <c r="E61" s="4">
        <f t="shared" si="27"/>
        <v>100000</v>
      </c>
      <c r="F61" s="4">
        <f>+'202401anual'!D110</f>
        <v>0</v>
      </c>
      <c r="G61" s="4">
        <v>183000</v>
      </c>
      <c r="H61" s="4">
        <f t="shared" si="28"/>
        <v>-183000</v>
      </c>
      <c r="I61" s="4">
        <f>+'202401anual'!E110</f>
        <v>3500000</v>
      </c>
      <c r="J61" s="4">
        <f>+[6]EjecucionPptalPasiva!$Q$281</f>
        <v>1080000</v>
      </c>
      <c r="K61" s="4">
        <f t="shared" si="37"/>
        <v>2420000</v>
      </c>
      <c r="L61" s="4">
        <f>+'202401anual'!F110</f>
        <v>3500000</v>
      </c>
      <c r="M61" s="4">
        <f>+[5]EjecucionPptalPasiva!$Q$281</f>
        <v>5109000</v>
      </c>
      <c r="N61" s="4">
        <f t="shared" si="38"/>
        <v>-1609000</v>
      </c>
      <c r="O61" s="4">
        <f>+'202401anual'!G110</f>
        <v>3500000</v>
      </c>
      <c r="P61" s="4">
        <v>5730000</v>
      </c>
      <c r="Q61" s="4">
        <f t="shared" si="39"/>
        <v>-2230000</v>
      </c>
      <c r="R61" s="4">
        <f>+'202401anual'!H110</f>
        <v>3500000</v>
      </c>
      <c r="S61" s="4"/>
      <c r="T61" s="4">
        <f t="shared" si="40"/>
        <v>3500000</v>
      </c>
      <c r="U61" s="4"/>
      <c r="V61" s="4"/>
      <c r="W61" s="4"/>
      <c r="X61" s="4"/>
      <c r="Y61" s="4"/>
      <c r="Z61" s="4"/>
      <c r="AA61" s="4">
        <f t="shared" si="41"/>
        <v>14100000</v>
      </c>
      <c r="AB61" s="4">
        <f t="shared" si="41"/>
        <v>12102000</v>
      </c>
      <c r="AC61" s="4">
        <f t="shared" si="42"/>
        <v>1998000</v>
      </c>
      <c r="AD61" s="43">
        <f t="shared" si="43"/>
        <v>14.170212765957446</v>
      </c>
      <c r="AE61" s="34"/>
      <c r="AF61" s="38"/>
      <c r="AG61" s="38"/>
      <c r="AH61" s="2"/>
      <c r="AI61" s="2"/>
    </row>
    <row r="62" spans="1:35" hidden="1" x14ac:dyDescent="0.25">
      <c r="A62" s="5" t="s">
        <v>30</v>
      </c>
      <c r="B62" s="4"/>
      <c r="C62" s="4"/>
      <c r="D62" s="4"/>
      <c r="E62" s="4">
        <f t="shared" si="27"/>
        <v>0</v>
      </c>
      <c r="F62" s="4" t="e">
        <f>+'202401anual'!#REF!</f>
        <v>#REF!</v>
      </c>
      <c r="G62" s="4"/>
      <c r="H62" s="4" t="e">
        <f t="shared" si="28"/>
        <v>#REF!</v>
      </c>
      <c r="I62" s="4" t="e">
        <f>+'202401anual'!#REF!</f>
        <v>#REF!</v>
      </c>
      <c r="J62" s="4"/>
      <c r="K62" s="4" t="e">
        <f t="shared" si="37"/>
        <v>#REF!</v>
      </c>
      <c r="L62" s="4" t="e">
        <f>+'202401anual'!#REF!</f>
        <v>#REF!</v>
      </c>
      <c r="M62" s="4"/>
      <c r="N62" s="4" t="e">
        <f t="shared" si="38"/>
        <v>#REF!</v>
      </c>
      <c r="O62" s="4" t="e">
        <f>+'202401anual'!#REF!</f>
        <v>#REF!</v>
      </c>
      <c r="P62" s="4"/>
      <c r="Q62" s="4" t="e">
        <f t="shared" si="39"/>
        <v>#REF!</v>
      </c>
      <c r="R62" s="4" t="e">
        <f>+'202401anual'!#REF!</f>
        <v>#REF!</v>
      </c>
      <c r="S62" s="4"/>
      <c r="T62" s="4" t="e">
        <f t="shared" si="40"/>
        <v>#REF!</v>
      </c>
      <c r="U62" s="4"/>
      <c r="V62" s="4"/>
      <c r="W62" s="4"/>
      <c r="X62" s="4"/>
      <c r="Y62" s="4"/>
      <c r="Z62" s="4"/>
      <c r="AA62" s="4" t="e">
        <f t="shared" si="41"/>
        <v>#REF!</v>
      </c>
      <c r="AB62" s="4">
        <f t="shared" si="41"/>
        <v>0</v>
      </c>
      <c r="AC62" s="4" t="e">
        <f t="shared" si="42"/>
        <v>#REF!</v>
      </c>
      <c r="AD62" s="43" t="e">
        <f t="shared" si="43"/>
        <v>#REF!</v>
      </c>
      <c r="AE62" s="34"/>
      <c r="AF62" s="38"/>
      <c r="AG62" s="38"/>
      <c r="AH62" s="2"/>
      <c r="AI62" s="2"/>
    </row>
    <row r="63" spans="1:35" hidden="1" x14ac:dyDescent="0.25">
      <c r="A63" s="5" t="s">
        <v>31</v>
      </c>
      <c r="B63" s="4"/>
      <c r="C63" s="4"/>
      <c r="D63" s="4"/>
      <c r="E63" s="4">
        <f t="shared" si="27"/>
        <v>0</v>
      </c>
      <c r="F63" s="4" t="e">
        <f>+'202401anual'!#REF!</f>
        <v>#REF!</v>
      </c>
      <c r="G63" s="4"/>
      <c r="H63" s="4" t="e">
        <f t="shared" si="28"/>
        <v>#REF!</v>
      </c>
      <c r="I63" s="4" t="e">
        <f>+'202401anual'!#REF!</f>
        <v>#REF!</v>
      </c>
      <c r="J63" s="4"/>
      <c r="K63" s="4" t="e">
        <f t="shared" si="37"/>
        <v>#REF!</v>
      </c>
      <c r="L63" s="4" t="e">
        <f>+'202401anual'!#REF!</f>
        <v>#REF!</v>
      </c>
      <c r="M63" s="4"/>
      <c r="N63" s="4" t="e">
        <f t="shared" si="38"/>
        <v>#REF!</v>
      </c>
      <c r="O63" s="4" t="e">
        <f>+'202401anual'!#REF!</f>
        <v>#REF!</v>
      </c>
      <c r="P63" s="4"/>
      <c r="Q63" s="4" t="e">
        <f t="shared" si="39"/>
        <v>#REF!</v>
      </c>
      <c r="R63" s="4" t="e">
        <f>+'202401anual'!#REF!</f>
        <v>#REF!</v>
      </c>
      <c r="S63" s="4"/>
      <c r="T63" s="4" t="e">
        <f t="shared" si="40"/>
        <v>#REF!</v>
      </c>
      <c r="U63" s="4"/>
      <c r="V63" s="4"/>
      <c r="W63" s="4"/>
      <c r="X63" s="4"/>
      <c r="Y63" s="4"/>
      <c r="Z63" s="4"/>
      <c r="AA63" s="4" t="e">
        <f t="shared" si="41"/>
        <v>#REF!</v>
      </c>
      <c r="AB63" s="4">
        <f t="shared" si="41"/>
        <v>0</v>
      </c>
      <c r="AC63" s="4" t="e">
        <f t="shared" si="42"/>
        <v>#REF!</v>
      </c>
      <c r="AD63" s="43" t="e">
        <f t="shared" si="43"/>
        <v>#REF!</v>
      </c>
      <c r="AE63" s="34"/>
      <c r="AF63" s="38"/>
      <c r="AG63" s="38"/>
      <c r="AH63" s="2"/>
      <c r="AI63" s="2"/>
    </row>
    <row r="64" spans="1:35" x14ac:dyDescent="0.25">
      <c r="A64" s="21" t="s">
        <v>32</v>
      </c>
      <c r="B64" s="4">
        <v>32400000</v>
      </c>
      <c r="C64" s="4">
        <v>2700000</v>
      </c>
      <c r="D64" s="4">
        <v>2112800</v>
      </c>
      <c r="E64" s="4">
        <f t="shared" si="27"/>
        <v>587200</v>
      </c>
      <c r="F64" s="4">
        <f>+'202401anual'!D111</f>
        <v>0</v>
      </c>
      <c r="G64" s="4"/>
      <c r="H64" s="4">
        <f t="shared" si="28"/>
        <v>0</v>
      </c>
      <c r="I64" s="4">
        <f>+'202401anual'!E111</f>
        <v>0</v>
      </c>
      <c r="J64" s="4"/>
      <c r="K64" s="4">
        <f t="shared" si="37"/>
        <v>0</v>
      </c>
      <c r="L64" s="4">
        <f>+'202401anual'!F111</f>
        <v>1150000</v>
      </c>
      <c r="M64" s="4">
        <v>0</v>
      </c>
      <c r="N64" s="4">
        <f t="shared" si="38"/>
        <v>1150000</v>
      </c>
      <c r="O64" s="4">
        <f>+'202401anual'!G111</f>
        <v>0</v>
      </c>
      <c r="P64" s="4">
        <v>0</v>
      </c>
      <c r="Q64" s="4">
        <f t="shared" si="39"/>
        <v>0</v>
      </c>
      <c r="R64" s="4">
        <f>+'202401anual'!H111</f>
        <v>0</v>
      </c>
      <c r="S64" s="4"/>
      <c r="T64" s="4">
        <f t="shared" si="40"/>
        <v>0</v>
      </c>
      <c r="U64" s="4"/>
      <c r="V64" s="4"/>
      <c r="W64" s="4"/>
      <c r="X64" s="4"/>
      <c r="Y64" s="4"/>
      <c r="Z64" s="4"/>
      <c r="AA64" s="4">
        <f t="shared" si="41"/>
        <v>3850000</v>
      </c>
      <c r="AB64" s="4">
        <f t="shared" si="41"/>
        <v>2112800</v>
      </c>
      <c r="AC64" s="4">
        <f t="shared" si="42"/>
        <v>1737200</v>
      </c>
      <c r="AD64" s="43">
        <f t="shared" si="43"/>
        <v>45.122077922077928</v>
      </c>
      <c r="AE64" s="34"/>
      <c r="AF64" s="38"/>
      <c r="AG64" s="38"/>
      <c r="AH64" s="2"/>
      <c r="AI64" s="2"/>
    </row>
    <row r="65" spans="1:35" x14ac:dyDescent="0.25">
      <c r="A65" s="5" t="s">
        <v>82</v>
      </c>
      <c r="B65" s="4">
        <v>11550000</v>
      </c>
      <c r="C65" s="4">
        <v>0</v>
      </c>
      <c r="D65" s="4">
        <v>0</v>
      </c>
      <c r="E65" s="4">
        <f t="shared" si="27"/>
        <v>0</v>
      </c>
      <c r="F65" s="4">
        <f>+'202401anual'!D112</f>
        <v>2044000</v>
      </c>
      <c r="G65" s="4"/>
      <c r="H65" s="4">
        <f t="shared" si="28"/>
        <v>2044000</v>
      </c>
      <c r="I65" s="4">
        <f>+'202401anual'!E112</f>
        <v>5000000</v>
      </c>
      <c r="J65" s="4">
        <v>1762283</v>
      </c>
      <c r="K65" s="4">
        <f t="shared" si="37"/>
        <v>3237717</v>
      </c>
      <c r="L65" s="4">
        <f>+'202401anual'!F112</f>
        <v>2044000</v>
      </c>
      <c r="M65" s="4">
        <v>2635657.7999999998</v>
      </c>
      <c r="N65" s="4">
        <f t="shared" si="38"/>
        <v>-591657.79999999981</v>
      </c>
      <c r="O65" s="4">
        <f>+'202401anual'!G112</f>
        <v>0</v>
      </c>
      <c r="P65" s="4">
        <v>0</v>
      </c>
      <c r="Q65" s="4">
        <f t="shared" si="39"/>
        <v>0</v>
      </c>
      <c r="R65" s="4">
        <f>+'202401anual'!H112</f>
        <v>7044000</v>
      </c>
      <c r="S65" s="4"/>
      <c r="T65" s="4">
        <f t="shared" si="40"/>
        <v>7044000</v>
      </c>
      <c r="U65" s="4"/>
      <c r="V65" s="4"/>
      <c r="W65" s="4"/>
      <c r="X65" s="4"/>
      <c r="Y65" s="4"/>
      <c r="Z65" s="4"/>
      <c r="AA65" s="4">
        <f t="shared" si="41"/>
        <v>16132000</v>
      </c>
      <c r="AB65" s="4">
        <f t="shared" si="41"/>
        <v>4397940.8</v>
      </c>
      <c r="AC65" s="4">
        <f t="shared" si="42"/>
        <v>11734059.199999999</v>
      </c>
      <c r="AD65" s="43">
        <v>0</v>
      </c>
      <c r="AE65" s="34"/>
      <c r="AF65" s="38"/>
      <c r="AG65" s="38"/>
      <c r="AH65" s="2"/>
      <c r="AI65" s="2"/>
    </row>
    <row r="66" spans="1:35" x14ac:dyDescent="0.25">
      <c r="A66" s="5" t="s">
        <v>81</v>
      </c>
      <c r="B66" s="4">
        <v>36000000</v>
      </c>
      <c r="C66" s="4">
        <v>3000000</v>
      </c>
      <c r="D66" s="4">
        <v>0</v>
      </c>
      <c r="E66" s="4">
        <f t="shared" si="27"/>
        <v>3000000</v>
      </c>
      <c r="F66" s="4">
        <f>+'202401anual'!D113</f>
        <v>0</v>
      </c>
      <c r="G66" s="4"/>
      <c r="H66" s="4">
        <f t="shared" si="28"/>
        <v>0</v>
      </c>
      <c r="I66" s="4">
        <f>+'202401anual'!E113</f>
        <v>0</v>
      </c>
      <c r="J66" s="4"/>
      <c r="K66" s="4">
        <f t="shared" si="37"/>
        <v>0</v>
      </c>
      <c r="L66" s="4">
        <f>+'202401anual'!F113</f>
        <v>0</v>
      </c>
      <c r="M66" s="4">
        <v>0</v>
      </c>
      <c r="N66" s="4">
        <f t="shared" si="38"/>
        <v>0</v>
      </c>
      <c r="O66" s="4">
        <f>+'202401anual'!G113</f>
        <v>0</v>
      </c>
      <c r="P66" s="4">
        <v>0</v>
      </c>
      <c r="Q66" s="4">
        <f t="shared" si="39"/>
        <v>0</v>
      </c>
      <c r="R66" s="4">
        <f>+'202401anual'!H113</f>
        <v>0</v>
      </c>
      <c r="S66" s="4"/>
      <c r="T66" s="4">
        <f t="shared" si="40"/>
        <v>0</v>
      </c>
      <c r="U66" s="4"/>
      <c r="V66" s="4"/>
      <c r="W66" s="4"/>
      <c r="X66" s="4"/>
      <c r="Y66" s="4"/>
      <c r="Z66" s="4"/>
      <c r="AA66" s="4">
        <f t="shared" si="41"/>
        <v>3000000</v>
      </c>
      <c r="AB66" s="4">
        <f t="shared" si="41"/>
        <v>0</v>
      </c>
      <c r="AC66" s="4">
        <f t="shared" si="42"/>
        <v>3000000</v>
      </c>
      <c r="AD66" s="43">
        <f t="shared" si="43"/>
        <v>100</v>
      </c>
      <c r="AE66" s="34"/>
      <c r="AF66" s="38"/>
      <c r="AG66" s="38"/>
      <c r="AH66" s="2"/>
      <c r="AI66" s="2"/>
    </row>
    <row r="67" spans="1:35" x14ac:dyDescent="0.25">
      <c r="A67" s="5" t="s">
        <v>93</v>
      </c>
      <c r="B67" s="4">
        <v>36000000</v>
      </c>
      <c r="C67" s="4">
        <v>1500000</v>
      </c>
      <c r="D67" s="4">
        <v>2126080</v>
      </c>
      <c r="E67" s="4">
        <f t="shared" si="27"/>
        <v>-626080</v>
      </c>
      <c r="F67" s="4">
        <f>+'202401anual'!D114</f>
        <v>1500000</v>
      </c>
      <c r="G67" s="4">
        <v>2078688</v>
      </c>
      <c r="H67" s="4">
        <f t="shared" si="28"/>
        <v>-578688</v>
      </c>
      <c r="I67" s="4">
        <f>+'202401anual'!E114</f>
        <v>1200000</v>
      </c>
      <c r="J67" s="4">
        <f>+[6]EjecucionPptalPasiva!$Q$398</f>
        <v>1686820</v>
      </c>
      <c r="K67" s="4">
        <f t="shared" si="37"/>
        <v>-486820</v>
      </c>
      <c r="L67" s="4">
        <f>+'202401anual'!F114</f>
        <v>1200000</v>
      </c>
      <c r="M67" s="4">
        <f>+[5]EjecucionPptalPasiva!$Q$398</f>
        <v>705004</v>
      </c>
      <c r="N67" s="4">
        <f t="shared" si="38"/>
        <v>494996</v>
      </c>
      <c r="O67" s="4">
        <f>+'202401anual'!G114</f>
        <v>1200000</v>
      </c>
      <c r="P67" s="4">
        <f>102312+708000</f>
        <v>810312</v>
      </c>
      <c r="Q67" s="4">
        <f t="shared" si="39"/>
        <v>389688</v>
      </c>
      <c r="R67" s="4">
        <f>+'202401anual'!H114</f>
        <v>1200000</v>
      </c>
      <c r="S67" s="4"/>
      <c r="T67" s="4">
        <f t="shared" si="40"/>
        <v>1200000</v>
      </c>
      <c r="U67" s="4"/>
      <c r="V67" s="4"/>
      <c r="W67" s="4"/>
      <c r="X67" s="4"/>
      <c r="Y67" s="4"/>
      <c r="Z67" s="4"/>
      <c r="AA67" s="4">
        <f t="shared" si="41"/>
        <v>7800000</v>
      </c>
      <c r="AB67" s="4">
        <f t="shared" si="41"/>
        <v>7406904</v>
      </c>
      <c r="AC67" s="4">
        <f t="shared" si="42"/>
        <v>393096</v>
      </c>
      <c r="AD67" s="43">
        <f t="shared" si="43"/>
        <v>5.0396923076923077</v>
      </c>
      <c r="AE67" s="34"/>
      <c r="AF67" s="38"/>
      <c r="AG67" s="38"/>
      <c r="AH67" s="2"/>
      <c r="AI67" s="2"/>
    </row>
    <row r="68" spans="1:35" x14ac:dyDescent="0.25">
      <c r="A68" s="5" t="s">
        <v>110</v>
      </c>
      <c r="B68" s="4">
        <v>4000000</v>
      </c>
      <c r="C68" s="4">
        <v>1500000</v>
      </c>
      <c r="D68" s="4">
        <v>7200</v>
      </c>
      <c r="E68" s="4">
        <f t="shared" si="27"/>
        <v>1492800</v>
      </c>
      <c r="F68" s="4">
        <f>+'202401anual'!D115</f>
        <v>250000</v>
      </c>
      <c r="G68" s="4"/>
      <c r="H68" s="4">
        <f t="shared" si="28"/>
        <v>250000</v>
      </c>
      <c r="I68" s="4">
        <f>+'202401anual'!E115</f>
        <v>250000</v>
      </c>
      <c r="J68" s="4">
        <f>+[6]EjecucionPptalPasiva!$Q$275+[6]EjecucionPptalPasiva!$Q$282</f>
        <v>4967400</v>
      </c>
      <c r="K68" s="4">
        <f t="shared" si="37"/>
        <v>-4717400</v>
      </c>
      <c r="L68" s="4">
        <f>+'202401anual'!F115</f>
        <v>250000</v>
      </c>
      <c r="M68" s="4">
        <f>+[5]EjecucionPptalPasiva!$Q$275</f>
        <v>118960</v>
      </c>
      <c r="N68" s="4">
        <f t="shared" si="38"/>
        <v>131040</v>
      </c>
      <c r="O68" s="4">
        <f>+'202401anual'!G115</f>
        <v>250000</v>
      </c>
      <c r="P68" s="4">
        <v>0</v>
      </c>
      <c r="Q68" s="4">
        <f t="shared" si="39"/>
        <v>250000</v>
      </c>
      <c r="R68" s="4">
        <f>+'202401anual'!H115</f>
        <v>250000</v>
      </c>
      <c r="S68" s="4"/>
      <c r="T68" s="4">
        <f t="shared" si="40"/>
        <v>250000</v>
      </c>
      <c r="U68" s="4"/>
      <c r="V68" s="4"/>
      <c r="W68" s="4"/>
      <c r="X68" s="4"/>
      <c r="Y68" s="4"/>
      <c r="Z68" s="4"/>
      <c r="AA68" s="4">
        <f t="shared" si="41"/>
        <v>2750000</v>
      </c>
      <c r="AB68" s="4">
        <f t="shared" si="41"/>
        <v>5093560</v>
      </c>
      <c r="AC68" s="4">
        <f t="shared" si="42"/>
        <v>-2343560</v>
      </c>
      <c r="AD68" s="43">
        <f t="shared" si="43"/>
        <v>-85.220363636363643</v>
      </c>
      <c r="AE68" s="34"/>
      <c r="AF68" s="38"/>
      <c r="AG68" s="38"/>
      <c r="AH68" s="2"/>
      <c r="AI68" s="2"/>
    </row>
    <row r="69" spans="1:35" x14ac:dyDescent="0.25">
      <c r="A69" s="21" t="s">
        <v>79</v>
      </c>
      <c r="B69" s="4">
        <v>7000000</v>
      </c>
      <c r="C69" s="4">
        <v>0</v>
      </c>
      <c r="D69" s="4">
        <v>0</v>
      </c>
      <c r="E69" s="4">
        <f t="shared" si="27"/>
        <v>0</v>
      </c>
      <c r="F69" s="4" t="e">
        <f>+'202401anual'!#REF!</f>
        <v>#REF!</v>
      </c>
      <c r="G69" s="4"/>
      <c r="H69" s="4" t="e">
        <f t="shared" si="28"/>
        <v>#REF!</v>
      </c>
      <c r="I69" s="4" t="e">
        <f>+'202401anual'!#REF!</f>
        <v>#REF!</v>
      </c>
      <c r="J69" s="4"/>
      <c r="K69" s="4" t="e">
        <f t="shared" si="37"/>
        <v>#REF!</v>
      </c>
      <c r="L69" s="4" t="e">
        <f>+'202401anual'!#REF!</f>
        <v>#REF!</v>
      </c>
      <c r="M69" s="4">
        <v>0</v>
      </c>
      <c r="N69" s="4" t="e">
        <f t="shared" si="38"/>
        <v>#REF!</v>
      </c>
      <c r="O69" s="4" t="e">
        <f>+'202401anual'!#REF!</f>
        <v>#REF!</v>
      </c>
      <c r="P69" s="4">
        <v>0</v>
      </c>
      <c r="Q69" s="4" t="e">
        <f t="shared" si="39"/>
        <v>#REF!</v>
      </c>
      <c r="R69" s="4" t="e">
        <f>+'202401anual'!#REF!</f>
        <v>#REF!</v>
      </c>
      <c r="S69" s="4"/>
      <c r="T69" s="4" t="e">
        <f t="shared" si="40"/>
        <v>#REF!</v>
      </c>
      <c r="U69" s="4"/>
      <c r="V69" s="4"/>
      <c r="W69" s="4"/>
      <c r="X69" s="4"/>
      <c r="Y69" s="4"/>
      <c r="Z69" s="4"/>
      <c r="AA69" s="4" t="e">
        <f t="shared" si="41"/>
        <v>#REF!</v>
      </c>
      <c r="AB69" s="4">
        <f t="shared" si="41"/>
        <v>0</v>
      </c>
      <c r="AC69" s="4" t="e">
        <f t="shared" si="42"/>
        <v>#REF!</v>
      </c>
      <c r="AD69" s="43">
        <v>0</v>
      </c>
      <c r="AE69" s="34"/>
      <c r="AF69" s="38"/>
      <c r="AG69" s="38"/>
      <c r="AH69" s="2"/>
      <c r="AI69" s="2"/>
    </row>
    <row r="70" spans="1:35" ht="30" x14ac:dyDescent="0.25">
      <c r="A70" s="21" t="s">
        <v>77</v>
      </c>
      <c r="B70" s="4">
        <v>7000000</v>
      </c>
      <c r="C70" s="4">
        <v>0</v>
      </c>
      <c r="D70" s="4">
        <v>0</v>
      </c>
      <c r="E70" s="4">
        <f t="shared" si="27"/>
        <v>0</v>
      </c>
      <c r="F70" s="4">
        <f>+'202401anual'!D118</f>
        <v>15930000</v>
      </c>
      <c r="G70" s="4"/>
      <c r="H70" s="4">
        <f t="shared" si="28"/>
        <v>15930000</v>
      </c>
      <c r="I70" s="4">
        <f>+'202401anual'!E118</f>
        <v>0</v>
      </c>
      <c r="J70" s="4"/>
      <c r="K70" s="4">
        <f t="shared" si="37"/>
        <v>0</v>
      </c>
      <c r="L70" s="4">
        <f>+'202401anual'!F118</f>
        <v>0</v>
      </c>
      <c r="M70" s="4">
        <v>0</v>
      </c>
      <c r="N70" s="4">
        <f t="shared" si="38"/>
        <v>0</v>
      </c>
      <c r="O70" s="4">
        <f>+'202401anual'!G118</f>
        <v>0</v>
      </c>
      <c r="P70" s="4">
        <v>0</v>
      </c>
      <c r="Q70" s="4">
        <f t="shared" si="39"/>
        <v>0</v>
      </c>
      <c r="R70" s="4">
        <f>+'202401anual'!H118</f>
        <v>15930000</v>
      </c>
      <c r="S70" s="4"/>
      <c r="T70" s="4">
        <f t="shared" si="40"/>
        <v>15930000</v>
      </c>
      <c r="U70" s="4"/>
      <c r="V70" s="4"/>
      <c r="W70" s="4"/>
      <c r="X70" s="4"/>
      <c r="Y70" s="4"/>
      <c r="Z70" s="4"/>
      <c r="AA70" s="4">
        <f t="shared" si="41"/>
        <v>31860000</v>
      </c>
      <c r="AB70" s="4">
        <f t="shared" si="41"/>
        <v>0</v>
      </c>
      <c r="AC70" s="4">
        <f t="shared" si="42"/>
        <v>31860000</v>
      </c>
      <c r="AD70" s="43">
        <v>0</v>
      </c>
      <c r="AE70" s="34"/>
      <c r="AF70" s="38"/>
      <c r="AG70" s="38"/>
      <c r="AH70" s="2"/>
      <c r="AI70" s="2"/>
    </row>
    <row r="71" spans="1:35" ht="30" x14ac:dyDescent="0.25">
      <c r="A71" s="21" t="s">
        <v>80</v>
      </c>
      <c r="B71" s="4">
        <v>4000000</v>
      </c>
      <c r="C71" s="4">
        <v>0</v>
      </c>
      <c r="D71" s="4">
        <v>0</v>
      </c>
      <c r="E71" s="4">
        <f t="shared" si="27"/>
        <v>0</v>
      </c>
      <c r="F71" s="4">
        <f>+'202401anual'!D119</f>
        <v>0</v>
      </c>
      <c r="G71" s="4"/>
      <c r="H71" s="4">
        <f t="shared" si="28"/>
        <v>0</v>
      </c>
      <c r="I71" s="4">
        <f>+'202401anual'!E119</f>
        <v>0</v>
      </c>
      <c r="J71" s="4"/>
      <c r="K71" s="4">
        <f t="shared" si="37"/>
        <v>0</v>
      </c>
      <c r="L71" s="4">
        <f>+'202401anual'!F119</f>
        <v>0</v>
      </c>
      <c r="M71" s="4">
        <v>0</v>
      </c>
      <c r="N71" s="4">
        <f t="shared" si="38"/>
        <v>0</v>
      </c>
      <c r="O71" s="4">
        <f>+'202401anual'!G119</f>
        <v>0</v>
      </c>
      <c r="P71" s="4">
        <v>0</v>
      </c>
      <c r="Q71" s="4">
        <f t="shared" si="39"/>
        <v>0</v>
      </c>
      <c r="R71" s="4">
        <f>+'202401anual'!H119</f>
        <v>0</v>
      </c>
      <c r="S71" s="4"/>
      <c r="T71" s="4">
        <f t="shared" si="40"/>
        <v>0</v>
      </c>
      <c r="U71" s="4"/>
      <c r="V71" s="4"/>
      <c r="W71" s="4"/>
      <c r="X71" s="4"/>
      <c r="Y71" s="4"/>
      <c r="Z71" s="4"/>
      <c r="AA71" s="4">
        <f t="shared" si="41"/>
        <v>0</v>
      </c>
      <c r="AB71" s="4">
        <f t="shared" si="41"/>
        <v>0</v>
      </c>
      <c r="AC71" s="4">
        <f t="shared" si="42"/>
        <v>0</v>
      </c>
      <c r="AD71" s="43">
        <v>0</v>
      </c>
      <c r="AE71" s="34"/>
      <c r="AF71" s="38"/>
      <c r="AG71" s="38"/>
      <c r="AH71" s="2"/>
      <c r="AI71" s="2"/>
    </row>
    <row r="72" spans="1:35" x14ac:dyDescent="0.25">
      <c r="A72" s="21" t="s">
        <v>70</v>
      </c>
      <c r="B72" s="4">
        <v>64800000</v>
      </c>
      <c r="C72" s="4">
        <v>5400000</v>
      </c>
      <c r="D72" s="4">
        <v>5451000</v>
      </c>
      <c r="E72" s="4">
        <f t="shared" si="27"/>
        <v>-51000</v>
      </c>
      <c r="F72" s="4">
        <f>+'202401anual'!D120</f>
        <v>6000000</v>
      </c>
      <c r="G72" s="4">
        <v>2725500</v>
      </c>
      <c r="H72" s="4">
        <f t="shared" si="28"/>
        <v>3274500</v>
      </c>
      <c r="I72" s="4">
        <f>+'202401anual'!E120</f>
        <v>7752000</v>
      </c>
      <c r="J72" s="4">
        <f>+[6]EjecucionPptalPasiva!$Q$284</f>
        <v>7994800</v>
      </c>
      <c r="K72" s="4">
        <f t="shared" si="37"/>
        <v>-242800</v>
      </c>
      <c r="L72" s="4">
        <f>+'202401anual'!F120</f>
        <v>7752000</v>
      </c>
      <c r="M72" s="4">
        <f>+[5]EjecucionPptalPasiva!$Q$284</f>
        <v>5451000</v>
      </c>
      <c r="N72" s="4">
        <f t="shared" si="38"/>
        <v>2301000</v>
      </c>
      <c r="O72" s="4">
        <f>+'202401anual'!G120</f>
        <v>7752000</v>
      </c>
      <c r="P72" s="4">
        <v>5451000</v>
      </c>
      <c r="Q72" s="4">
        <f t="shared" si="39"/>
        <v>2301000</v>
      </c>
      <c r="R72" s="4">
        <f>+'202401anual'!H120</f>
        <v>7752000</v>
      </c>
      <c r="S72" s="4"/>
      <c r="T72" s="4">
        <f t="shared" si="40"/>
        <v>7752000</v>
      </c>
      <c r="U72" s="4"/>
      <c r="V72" s="4"/>
      <c r="W72" s="4"/>
      <c r="X72" s="4"/>
      <c r="Y72" s="4"/>
      <c r="Z72" s="4"/>
      <c r="AA72" s="4">
        <f t="shared" si="41"/>
        <v>42408000</v>
      </c>
      <c r="AB72" s="4">
        <f t="shared" si="41"/>
        <v>27073300</v>
      </c>
      <c r="AC72" s="4">
        <f t="shared" si="42"/>
        <v>15334700</v>
      </c>
      <c r="AD72" s="43">
        <f t="shared" si="43"/>
        <v>36.159922656102623</v>
      </c>
      <c r="AE72" s="34"/>
      <c r="AF72" s="38"/>
      <c r="AG72" s="38"/>
      <c r="AH72" s="2"/>
      <c r="AI72" s="2"/>
    </row>
    <row r="73" spans="1:35" ht="30" x14ac:dyDescent="0.25">
      <c r="A73" s="21" t="s">
        <v>33</v>
      </c>
      <c r="B73" s="4">
        <v>27600000</v>
      </c>
      <c r="C73" s="4">
        <v>2300000</v>
      </c>
      <c r="D73" s="4">
        <v>0</v>
      </c>
      <c r="E73" s="4">
        <f t="shared" si="27"/>
        <v>2300000</v>
      </c>
      <c r="F73" s="4">
        <f>+'202401anual'!D131</f>
        <v>0</v>
      </c>
      <c r="G73" s="4"/>
      <c r="H73" s="4">
        <f t="shared" si="28"/>
        <v>0</v>
      </c>
      <c r="I73" s="4">
        <f>+'202401anual'!E131</f>
        <v>982500</v>
      </c>
      <c r="J73" s="4">
        <f>+[6]EjecucionPptalPasiva!$Q$278</f>
        <v>602000</v>
      </c>
      <c r="K73" s="4">
        <f t="shared" si="37"/>
        <v>380500</v>
      </c>
      <c r="L73" s="4">
        <f>+'202401anual'!F131</f>
        <v>982500</v>
      </c>
      <c r="M73" s="4">
        <v>0</v>
      </c>
      <c r="N73" s="4">
        <f t="shared" si="38"/>
        <v>982500</v>
      </c>
      <c r="O73" s="4">
        <f>+'202401anual'!G131</f>
        <v>982500</v>
      </c>
      <c r="P73" s="4">
        <v>0</v>
      </c>
      <c r="Q73" s="4">
        <f t="shared" si="39"/>
        <v>982500</v>
      </c>
      <c r="R73" s="4">
        <f>+'202401anual'!H131</f>
        <v>982500</v>
      </c>
      <c r="S73" s="4"/>
      <c r="T73" s="4">
        <f t="shared" si="40"/>
        <v>982500</v>
      </c>
      <c r="U73" s="4"/>
      <c r="V73" s="4"/>
      <c r="W73" s="4"/>
      <c r="X73" s="4"/>
      <c r="Y73" s="4"/>
      <c r="Z73" s="4"/>
      <c r="AA73" s="4">
        <f t="shared" si="41"/>
        <v>6230000</v>
      </c>
      <c r="AB73" s="4">
        <f t="shared" si="41"/>
        <v>602000</v>
      </c>
      <c r="AC73" s="4">
        <f t="shared" si="42"/>
        <v>5628000</v>
      </c>
      <c r="AD73" s="43">
        <f t="shared" si="43"/>
        <v>90.337078651685403</v>
      </c>
      <c r="AE73" s="34"/>
      <c r="AF73" s="38"/>
      <c r="AG73" s="38"/>
      <c r="AH73" s="2"/>
      <c r="AI73" s="2"/>
    </row>
    <row r="74" spans="1:35" x14ac:dyDescent="0.25">
      <c r="A74" s="5" t="s">
        <v>75</v>
      </c>
      <c r="B74" s="4">
        <v>36000000</v>
      </c>
      <c r="C74" s="4">
        <v>3000000</v>
      </c>
      <c r="D74" s="4">
        <v>0</v>
      </c>
      <c r="E74" s="4">
        <f t="shared" si="27"/>
        <v>3000000</v>
      </c>
      <c r="F74" s="4">
        <f>+'202401anual'!D132</f>
        <v>0</v>
      </c>
      <c r="G74" s="4"/>
      <c r="H74" s="4">
        <f t="shared" si="28"/>
        <v>0</v>
      </c>
      <c r="I74" s="4">
        <f>+'202401anual'!E132</f>
        <v>0</v>
      </c>
      <c r="J74" s="4"/>
      <c r="K74" s="4">
        <f t="shared" si="37"/>
        <v>0</v>
      </c>
      <c r="L74" s="4">
        <f>+'202401anual'!F132</f>
        <v>0</v>
      </c>
      <c r="M74" s="4">
        <v>0</v>
      </c>
      <c r="N74" s="4">
        <f t="shared" si="38"/>
        <v>0</v>
      </c>
      <c r="O74" s="4">
        <f>+'202401anual'!G132</f>
        <v>1600000</v>
      </c>
      <c r="P74" s="4">
        <v>0</v>
      </c>
      <c r="Q74" s="4">
        <f t="shared" si="39"/>
        <v>1600000</v>
      </c>
      <c r="R74" s="4">
        <f>+'202401anual'!H132</f>
        <v>2000000</v>
      </c>
      <c r="S74" s="4"/>
      <c r="T74" s="4">
        <f t="shared" si="40"/>
        <v>2000000</v>
      </c>
      <c r="U74" s="4"/>
      <c r="V74" s="4"/>
      <c r="W74" s="4"/>
      <c r="X74" s="4"/>
      <c r="Y74" s="4"/>
      <c r="Z74" s="4"/>
      <c r="AA74" s="4">
        <f t="shared" si="41"/>
        <v>6600000</v>
      </c>
      <c r="AB74" s="4">
        <f t="shared" si="41"/>
        <v>0</v>
      </c>
      <c r="AC74" s="4">
        <f t="shared" si="42"/>
        <v>6600000</v>
      </c>
      <c r="AD74" s="43">
        <f t="shared" si="43"/>
        <v>100</v>
      </c>
      <c r="AE74" s="34"/>
      <c r="AF74" s="38"/>
      <c r="AG74" s="38"/>
      <c r="AH74" s="2"/>
      <c r="AI74" s="2"/>
    </row>
    <row r="75" spans="1:35" x14ac:dyDescent="0.25">
      <c r="A75" s="5" t="s">
        <v>87</v>
      </c>
      <c r="B75" s="4">
        <v>18823282</v>
      </c>
      <c r="C75" s="4">
        <v>224000</v>
      </c>
      <c r="D75" s="4">
        <v>0</v>
      </c>
      <c r="E75" s="4">
        <f t="shared" si="27"/>
        <v>224000</v>
      </c>
      <c r="F75" s="4" t="e">
        <f>+'202401anual'!#REF!</f>
        <v>#REF!</v>
      </c>
      <c r="G75" s="4"/>
      <c r="H75" s="4" t="e">
        <f t="shared" si="28"/>
        <v>#REF!</v>
      </c>
      <c r="I75" s="4" t="e">
        <f>+'202401anual'!#REF!</f>
        <v>#REF!</v>
      </c>
      <c r="J75" s="4"/>
      <c r="K75" s="4" t="e">
        <f t="shared" si="37"/>
        <v>#REF!</v>
      </c>
      <c r="L75" s="4" t="e">
        <f>+'202401anual'!#REF!</f>
        <v>#REF!</v>
      </c>
      <c r="M75" s="4">
        <v>0</v>
      </c>
      <c r="N75" s="4" t="e">
        <f t="shared" si="38"/>
        <v>#REF!</v>
      </c>
      <c r="O75" s="4" t="e">
        <f>+'202401anual'!#REF!</f>
        <v>#REF!</v>
      </c>
      <c r="P75" s="4">
        <v>0</v>
      </c>
      <c r="Q75" s="4" t="e">
        <f t="shared" si="39"/>
        <v>#REF!</v>
      </c>
      <c r="R75" s="4" t="e">
        <f>+'202401anual'!#REF!</f>
        <v>#REF!</v>
      </c>
      <c r="S75" s="4"/>
      <c r="T75" s="4" t="e">
        <f t="shared" si="40"/>
        <v>#REF!</v>
      </c>
      <c r="U75" s="4"/>
      <c r="V75" s="4"/>
      <c r="W75" s="4"/>
      <c r="X75" s="4"/>
      <c r="Y75" s="4"/>
      <c r="Z75" s="4"/>
      <c r="AA75" s="4" t="e">
        <f t="shared" si="41"/>
        <v>#REF!</v>
      </c>
      <c r="AB75" s="4">
        <f t="shared" si="41"/>
        <v>0</v>
      </c>
      <c r="AC75" s="4" t="e">
        <f t="shared" si="42"/>
        <v>#REF!</v>
      </c>
      <c r="AD75" s="43" t="e">
        <f t="shared" si="43"/>
        <v>#REF!</v>
      </c>
      <c r="AE75" s="34"/>
      <c r="AF75" s="38"/>
      <c r="AG75" s="38"/>
      <c r="AH75" s="2"/>
      <c r="AI75" s="2"/>
    </row>
    <row r="76" spans="1:35" x14ac:dyDescent="0.25">
      <c r="A76" s="5" t="s">
        <v>68</v>
      </c>
      <c r="B76" s="4">
        <v>14400000</v>
      </c>
      <c r="C76" s="4">
        <v>1200000</v>
      </c>
      <c r="D76" s="4">
        <v>4473800</v>
      </c>
      <c r="E76" s="4">
        <f t="shared" si="27"/>
        <v>-3273800</v>
      </c>
      <c r="F76" s="4">
        <f>+'202401anual'!D133</f>
        <v>4000000</v>
      </c>
      <c r="G76" s="4">
        <v>1256880</v>
      </c>
      <c r="H76" s="4">
        <f t="shared" si="28"/>
        <v>2743120</v>
      </c>
      <c r="I76" s="4">
        <f>+'202401anual'!E133</f>
        <v>4000000</v>
      </c>
      <c r="J76" s="4">
        <f>+[6]EjecucionPptalPasiva!$Q$279</f>
        <v>2009690</v>
      </c>
      <c r="K76" s="4">
        <f t="shared" si="37"/>
        <v>1990310</v>
      </c>
      <c r="L76" s="4">
        <f>+'202401anual'!F133</f>
        <v>4000000</v>
      </c>
      <c r="M76" s="4">
        <v>0</v>
      </c>
      <c r="N76" s="4">
        <f t="shared" si="38"/>
        <v>4000000</v>
      </c>
      <c r="O76" s="4">
        <f>+'202401anual'!G133</f>
        <v>4000000</v>
      </c>
      <c r="P76" s="4">
        <v>0</v>
      </c>
      <c r="Q76" s="4">
        <f t="shared" si="39"/>
        <v>4000000</v>
      </c>
      <c r="R76" s="4">
        <f>+'202401anual'!H133</f>
        <v>4000000</v>
      </c>
      <c r="S76" s="4"/>
      <c r="T76" s="4">
        <f t="shared" si="40"/>
        <v>4000000</v>
      </c>
      <c r="U76" s="4"/>
      <c r="V76" s="4"/>
      <c r="W76" s="4"/>
      <c r="X76" s="4"/>
      <c r="Y76" s="4"/>
      <c r="Z76" s="4"/>
      <c r="AA76" s="4">
        <f t="shared" si="41"/>
        <v>21200000</v>
      </c>
      <c r="AB76" s="4">
        <f t="shared" si="41"/>
        <v>7740370</v>
      </c>
      <c r="AC76" s="4">
        <f t="shared" si="42"/>
        <v>13459630</v>
      </c>
      <c r="AD76" s="43">
        <f t="shared" si="43"/>
        <v>63.488820754716983</v>
      </c>
      <c r="AE76" s="34"/>
      <c r="AF76" s="38"/>
      <c r="AG76" s="38"/>
      <c r="AH76" s="2"/>
      <c r="AI76" s="2"/>
    </row>
    <row r="77" spans="1:35" x14ac:dyDescent="0.25">
      <c r="A77" s="21" t="s">
        <v>67</v>
      </c>
      <c r="B77" s="4">
        <v>7798000</v>
      </c>
      <c r="C77" s="4">
        <v>519000</v>
      </c>
      <c r="D77" s="4">
        <v>0</v>
      </c>
      <c r="E77" s="4">
        <f t="shared" si="27"/>
        <v>519000</v>
      </c>
      <c r="F77" s="4" t="e">
        <f>+'202401anual'!#REF!</f>
        <v>#REF!</v>
      </c>
      <c r="G77" s="4">
        <v>530000</v>
      </c>
      <c r="H77" s="4" t="e">
        <f t="shared" si="28"/>
        <v>#REF!</v>
      </c>
      <c r="I77" s="4" t="e">
        <f>+'202401anual'!#REF!</f>
        <v>#REF!</v>
      </c>
      <c r="J77" s="4">
        <f>+[6]EjecucionPptalPasiva!$Q$231</f>
        <v>1918811</v>
      </c>
      <c r="K77" s="4" t="e">
        <f t="shared" si="37"/>
        <v>#REF!</v>
      </c>
      <c r="L77" s="4" t="e">
        <f>+'202401anual'!#REF!</f>
        <v>#REF!</v>
      </c>
      <c r="M77" s="4">
        <f>+[5]EjecucionPptalPasiva!$O$231</f>
        <v>634434</v>
      </c>
      <c r="N77" s="4" t="e">
        <f t="shared" si="38"/>
        <v>#REF!</v>
      </c>
      <c r="O77" s="4" t="e">
        <f>+'202401anual'!#REF!</f>
        <v>#REF!</v>
      </c>
      <c r="P77" s="4">
        <f>1190185</f>
        <v>1190185</v>
      </c>
      <c r="Q77" s="4" t="e">
        <f t="shared" si="39"/>
        <v>#REF!</v>
      </c>
      <c r="R77" s="4" t="e">
        <f>+'202401anual'!#REF!</f>
        <v>#REF!</v>
      </c>
      <c r="S77" s="4"/>
      <c r="T77" s="4" t="e">
        <f t="shared" si="40"/>
        <v>#REF!</v>
      </c>
      <c r="U77" s="4"/>
      <c r="V77" s="4"/>
      <c r="W77" s="4"/>
      <c r="X77" s="4"/>
      <c r="Y77" s="4"/>
      <c r="Z77" s="4"/>
      <c r="AA77" s="4" t="e">
        <f t="shared" si="41"/>
        <v>#REF!</v>
      </c>
      <c r="AB77" s="4">
        <f t="shared" si="41"/>
        <v>4273430</v>
      </c>
      <c r="AC77" s="4" t="e">
        <f t="shared" si="42"/>
        <v>#REF!</v>
      </c>
      <c r="AD77" s="43" t="e">
        <f t="shared" si="43"/>
        <v>#REF!</v>
      </c>
      <c r="AE77" s="34"/>
      <c r="AF77" s="38"/>
      <c r="AG77" s="38"/>
      <c r="AH77" s="2"/>
      <c r="AI77" s="2"/>
    </row>
    <row r="78" spans="1:35" x14ac:dyDescent="0.25">
      <c r="A78" s="21" t="s">
        <v>86</v>
      </c>
      <c r="B78" s="4">
        <v>54736747</v>
      </c>
      <c r="C78" s="4">
        <v>5061458.5192123605</v>
      </c>
      <c r="D78" s="4">
        <v>1210918</v>
      </c>
      <c r="E78" s="4">
        <f t="shared" si="27"/>
        <v>3850540.5192123605</v>
      </c>
      <c r="F78" s="4">
        <f>+'202401anual'!D134</f>
        <v>3254372.0833333335</v>
      </c>
      <c r="G78" s="4">
        <v>3835014</v>
      </c>
      <c r="H78" s="4">
        <f t="shared" si="28"/>
        <v>-580641.91666666651</v>
      </c>
      <c r="I78" s="4">
        <f>+'202401anual'!E134</f>
        <v>3254372.0833333335</v>
      </c>
      <c r="J78" s="4">
        <v>2178767</v>
      </c>
      <c r="K78" s="4">
        <f t="shared" si="37"/>
        <v>1075605.0833333335</v>
      </c>
      <c r="L78" s="4">
        <f>+'202401anual'!F134</f>
        <v>3254372.0833333335</v>
      </c>
      <c r="M78" s="4">
        <f>+[5]EjecucionPptalPasiva!$Q$298</f>
        <v>3478598</v>
      </c>
      <c r="N78" s="4">
        <f t="shared" si="38"/>
        <v>-224225.91666666651</v>
      </c>
      <c r="O78" s="4">
        <f>+'202401anual'!G134</f>
        <v>3254372.0833333335</v>
      </c>
      <c r="P78" s="4">
        <v>2819448</v>
      </c>
      <c r="Q78" s="4">
        <f t="shared" si="39"/>
        <v>434924.08333333349</v>
      </c>
      <c r="R78" s="4">
        <f>+'202401anual'!H134</f>
        <v>3254372.0833333335</v>
      </c>
      <c r="S78" s="4"/>
      <c r="T78" s="4">
        <f t="shared" si="40"/>
        <v>3254372.0833333335</v>
      </c>
      <c r="U78" s="4"/>
      <c r="V78" s="4"/>
      <c r="W78" s="4"/>
      <c r="X78" s="4"/>
      <c r="Y78" s="4"/>
      <c r="Z78" s="4"/>
      <c r="AA78" s="4">
        <f t="shared" si="41"/>
        <v>21333318.935879026</v>
      </c>
      <c r="AB78" s="4">
        <f t="shared" si="41"/>
        <v>13522745</v>
      </c>
      <c r="AC78" s="4">
        <f t="shared" si="42"/>
        <v>7810573.9358790256</v>
      </c>
      <c r="AD78" s="43">
        <f t="shared" si="43"/>
        <v>36.61209003322481</v>
      </c>
      <c r="AE78" s="34"/>
      <c r="AF78" s="38"/>
      <c r="AG78" s="38"/>
      <c r="AH78" s="2"/>
      <c r="AI78" s="2"/>
    </row>
    <row r="79" spans="1:35" x14ac:dyDescent="0.25">
      <c r="A79" s="5" t="s">
        <v>108</v>
      </c>
      <c r="B79" s="4">
        <v>36000000</v>
      </c>
      <c r="C79" s="4">
        <v>3000000</v>
      </c>
      <c r="D79" s="4">
        <v>0</v>
      </c>
      <c r="E79" s="4">
        <f t="shared" si="27"/>
        <v>3000000</v>
      </c>
      <c r="F79" s="4">
        <f>+'202401anual'!D135</f>
        <v>3500000</v>
      </c>
      <c r="G79" s="4"/>
      <c r="H79" s="4">
        <f t="shared" si="28"/>
        <v>3500000</v>
      </c>
      <c r="I79" s="4">
        <f>+'202401anual'!E135</f>
        <v>0</v>
      </c>
      <c r="J79" s="4"/>
      <c r="K79" s="4">
        <f t="shared" si="37"/>
        <v>0</v>
      </c>
      <c r="L79" s="4">
        <f>+'202401anual'!F135</f>
        <v>0</v>
      </c>
      <c r="M79" s="4">
        <v>0</v>
      </c>
      <c r="N79" s="4">
        <f t="shared" si="38"/>
        <v>0</v>
      </c>
      <c r="O79" s="4">
        <f>+'202401anual'!G135</f>
        <v>0</v>
      </c>
      <c r="P79" s="4">
        <v>0</v>
      </c>
      <c r="Q79" s="4">
        <f t="shared" si="39"/>
        <v>0</v>
      </c>
      <c r="R79" s="4">
        <f>+'202401anual'!H135</f>
        <v>0</v>
      </c>
      <c r="S79" s="4"/>
      <c r="T79" s="4">
        <f t="shared" si="40"/>
        <v>0</v>
      </c>
      <c r="U79" s="4"/>
      <c r="V79" s="4"/>
      <c r="W79" s="4"/>
      <c r="X79" s="4"/>
      <c r="Y79" s="4"/>
      <c r="Z79" s="4"/>
      <c r="AA79" s="4">
        <f t="shared" si="41"/>
        <v>6500000</v>
      </c>
      <c r="AB79" s="4">
        <f t="shared" si="41"/>
        <v>0</v>
      </c>
      <c r="AC79" s="4">
        <f t="shared" si="42"/>
        <v>6500000</v>
      </c>
      <c r="AD79" s="43">
        <f t="shared" si="43"/>
        <v>100</v>
      </c>
      <c r="AE79" s="34"/>
      <c r="AF79" s="38"/>
      <c r="AG79" s="38"/>
      <c r="AH79" s="2"/>
      <c r="AI79" s="2"/>
    </row>
    <row r="80" spans="1:35" x14ac:dyDescent="0.25">
      <c r="A80" s="5" t="s">
        <v>76</v>
      </c>
      <c r="B80" s="4">
        <v>15000000</v>
      </c>
      <c r="C80" s="4">
        <v>0</v>
      </c>
      <c r="D80" s="4">
        <v>0</v>
      </c>
      <c r="E80" s="4">
        <f t="shared" si="27"/>
        <v>0</v>
      </c>
      <c r="F80" s="4">
        <f>+'202401anual'!D136</f>
        <v>6000000</v>
      </c>
      <c r="G80" s="4"/>
      <c r="H80" s="4">
        <f t="shared" si="28"/>
        <v>6000000</v>
      </c>
      <c r="I80" s="4">
        <f>+'202401anual'!E136</f>
        <v>0</v>
      </c>
      <c r="J80" s="4"/>
      <c r="K80" s="4">
        <f t="shared" si="37"/>
        <v>0</v>
      </c>
      <c r="L80" s="4">
        <f>+'202401anual'!F136</f>
        <v>0</v>
      </c>
      <c r="M80" s="4">
        <v>0</v>
      </c>
      <c r="N80" s="4">
        <f t="shared" si="38"/>
        <v>0</v>
      </c>
      <c r="O80" s="4">
        <f>+'202401anual'!G136</f>
        <v>0</v>
      </c>
      <c r="P80" s="4">
        <v>0</v>
      </c>
      <c r="Q80" s="4">
        <f t="shared" si="39"/>
        <v>0</v>
      </c>
      <c r="R80" s="4">
        <f>+'202401anual'!H136</f>
        <v>0</v>
      </c>
      <c r="S80" s="4"/>
      <c r="T80" s="4">
        <f t="shared" si="40"/>
        <v>0</v>
      </c>
      <c r="U80" s="4"/>
      <c r="V80" s="4"/>
      <c r="W80" s="4"/>
      <c r="X80" s="4"/>
      <c r="Y80" s="4"/>
      <c r="Z80" s="4"/>
      <c r="AA80" s="4">
        <f t="shared" si="41"/>
        <v>6000000</v>
      </c>
      <c r="AB80" s="4">
        <f t="shared" si="41"/>
        <v>0</v>
      </c>
      <c r="AC80" s="4">
        <f t="shared" si="42"/>
        <v>6000000</v>
      </c>
      <c r="AD80" s="43">
        <v>0</v>
      </c>
      <c r="AE80" s="34"/>
      <c r="AF80" s="38"/>
      <c r="AG80" s="38"/>
      <c r="AH80" s="2"/>
      <c r="AI80" s="2"/>
    </row>
    <row r="81" spans="1:38" x14ac:dyDescent="0.25">
      <c r="A81" s="5" t="s">
        <v>61</v>
      </c>
      <c r="B81" s="4">
        <v>12000000</v>
      </c>
      <c r="C81" s="4">
        <v>0</v>
      </c>
      <c r="D81" s="4">
        <v>0</v>
      </c>
      <c r="E81" s="4">
        <f t="shared" si="27"/>
        <v>0</v>
      </c>
      <c r="F81" s="4">
        <f>+'202401anual'!D137</f>
        <v>0</v>
      </c>
      <c r="G81" s="4"/>
      <c r="H81" s="4">
        <f t="shared" si="28"/>
        <v>0</v>
      </c>
      <c r="I81" s="4">
        <f>+'202401anual'!E137</f>
        <v>0</v>
      </c>
      <c r="J81" s="4"/>
      <c r="K81" s="4">
        <f t="shared" si="37"/>
        <v>0</v>
      </c>
      <c r="L81" s="4">
        <f>+'202401anual'!F137</f>
        <v>0</v>
      </c>
      <c r="M81" s="4">
        <v>0</v>
      </c>
      <c r="N81" s="4">
        <f t="shared" si="38"/>
        <v>0</v>
      </c>
      <c r="O81" s="4">
        <f>+'202401anual'!G137</f>
        <v>0</v>
      </c>
      <c r="P81" s="4">
        <v>0</v>
      </c>
      <c r="Q81" s="4">
        <f t="shared" si="39"/>
        <v>0</v>
      </c>
      <c r="R81" s="4">
        <f>+'202401anual'!H137</f>
        <v>0</v>
      </c>
      <c r="S81" s="4"/>
      <c r="T81" s="4">
        <f t="shared" si="40"/>
        <v>0</v>
      </c>
      <c r="U81" s="4"/>
      <c r="V81" s="4"/>
      <c r="W81" s="4"/>
      <c r="X81" s="4"/>
      <c r="Y81" s="4"/>
      <c r="Z81" s="4"/>
      <c r="AA81" s="4">
        <f t="shared" si="41"/>
        <v>0</v>
      </c>
      <c r="AB81" s="4">
        <f t="shared" si="41"/>
        <v>0</v>
      </c>
      <c r="AC81" s="4">
        <f t="shared" si="42"/>
        <v>0</v>
      </c>
      <c r="AD81" s="43">
        <v>0</v>
      </c>
      <c r="AE81" s="34"/>
      <c r="AF81" s="38"/>
      <c r="AG81" s="38"/>
      <c r="AH81" s="2"/>
      <c r="AI81" s="2"/>
    </row>
    <row r="82" spans="1:38" hidden="1" x14ac:dyDescent="0.25">
      <c r="A82" s="5" t="s">
        <v>34</v>
      </c>
      <c r="B82" s="4"/>
      <c r="C82" s="4"/>
      <c r="D82" s="4"/>
      <c r="E82" s="4">
        <f t="shared" si="27"/>
        <v>0</v>
      </c>
      <c r="F82" s="4">
        <f>+'202401anual'!D138</f>
        <v>8200000</v>
      </c>
      <c r="G82" s="4"/>
      <c r="H82" s="4">
        <f t="shared" si="28"/>
        <v>8200000</v>
      </c>
      <c r="I82" s="4">
        <f>+'202401anual'!E138</f>
        <v>27774000</v>
      </c>
      <c r="J82" s="4"/>
      <c r="K82" s="4">
        <f t="shared" si="37"/>
        <v>27774000</v>
      </c>
      <c r="L82" s="4">
        <f>+'202401anual'!F138</f>
        <v>8200000</v>
      </c>
      <c r="M82" s="4"/>
      <c r="N82" s="4">
        <f t="shared" si="38"/>
        <v>8200000</v>
      </c>
      <c r="O82" s="4">
        <f>+'202401anual'!G138</f>
        <v>8200000</v>
      </c>
      <c r="P82" s="4"/>
      <c r="Q82" s="4">
        <f t="shared" si="39"/>
        <v>8200000</v>
      </c>
      <c r="R82" s="4">
        <f>+'202401anual'!H138</f>
        <v>8200000</v>
      </c>
      <c r="S82" s="4"/>
      <c r="T82" s="4">
        <f t="shared" si="40"/>
        <v>8200000</v>
      </c>
      <c r="U82" s="4"/>
      <c r="V82" s="4"/>
      <c r="W82" s="4"/>
      <c r="X82" s="4"/>
      <c r="Y82" s="4"/>
      <c r="Z82" s="4"/>
      <c r="AA82" s="4">
        <f t="shared" si="41"/>
        <v>60574000</v>
      </c>
      <c r="AB82" s="4">
        <f t="shared" si="41"/>
        <v>0</v>
      </c>
      <c r="AC82" s="4">
        <f t="shared" si="42"/>
        <v>60574000</v>
      </c>
      <c r="AD82" s="43">
        <f t="shared" si="43"/>
        <v>100</v>
      </c>
      <c r="AE82" s="34"/>
      <c r="AF82" s="38"/>
      <c r="AG82" s="38"/>
      <c r="AH82" s="2"/>
      <c r="AI82" s="2"/>
    </row>
    <row r="83" spans="1:38" x14ac:dyDescent="0.25">
      <c r="A83" s="5" t="s">
        <v>83</v>
      </c>
      <c r="B83" s="4">
        <v>26000000</v>
      </c>
      <c r="C83" s="4">
        <v>2000000</v>
      </c>
      <c r="D83" s="4">
        <v>0</v>
      </c>
      <c r="E83" s="4">
        <f t="shared" si="27"/>
        <v>2000000</v>
      </c>
      <c r="F83" s="4">
        <f>+'202401anual'!D139</f>
        <v>500000</v>
      </c>
      <c r="G83" s="4"/>
      <c r="H83" s="4">
        <f t="shared" si="28"/>
        <v>500000</v>
      </c>
      <c r="I83" s="4">
        <f>+'202401anual'!E139</f>
        <v>500000</v>
      </c>
      <c r="J83" s="4"/>
      <c r="K83" s="4">
        <f t="shared" si="37"/>
        <v>500000</v>
      </c>
      <c r="L83" s="4">
        <f>+'202401anual'!F139</f>
        <v>500000</v>
      </c>
      <c r="M83" s="4">
        <v>0</v>
      </c>
      <c r="N83" s="4">
        <f t="shared" si="38"/>
        <v>500000</v>
      </c>
      <c r="O83" s="4">
        <f>+'202401anual'!G139</f>
        <v>500000</v>
      </c>
      <c r="P83" s="4">
        <v>0</v>
      </c>
      <c r="Q83" s="4">
        <f t="shared" si="39"/>
        <v>500000</v>
      </c>
      <c r="R83" s="4">
        <f>+'202401anual'!H139</f>
        <v>500000</v>
      </c>
      <c r="S83" s="4"/>
      <c r="T83" s="4">
        <f t="shared" si="40"/>
        <v>500000</v>
      </c>
      <c r="U83" s="4"/>
      <c r="V83" s="4"/>
      <c r="W83" s="4"/>
      <c r="X83" s="4"/>
      <c r="Y83" s="4"/>
      <c r="Z83" s="4"/>
      <c r="AA83" s="4">
        <f t="shared" si="41"/>
        <v>4500000</v>
      </c>
      <c r="AB83" s="4">
        <f t="shared" si="41"/>
        <v>0</v>
      </c>
      <c r="AC83" s="4">
        <f t="shared" si="42"/>
        <v>4500000</v>
      </c>
      <c r="AD83" s="43">
        <f t="shared" si="43"/>
        <v>100</v>
      </c>
      <c r="AE83" s="34"/>
      <c r="AF83" s="38"/>
      <c r="AG83" s="38"/>
      <c r="AH83" s="2"/>
      <c r="AI83" s="2"/>
    </row>
    <row r="84" spans="1:38" hidden="1" x14ac:dyDescent="0.25">
      <c r="A84" s="5" t="s">
        <v>56</v>
      </c>
      <c r="B84" s="4"/>
      <c r="C84" s="4"/>
      <c r="D84" s="4"/>
      <c r="E84" s="4">
        <f t="shared" si="27"/>
        <v>0</v>
      </c>
      <c r="F84" s="4">
        <f>+'202401anual'!D140</f>
        <v>1508333.3333333333</v>
      </c>
      <c r="G84" s="4"/>
      <c r="H84" s="4">
        <f t="shared" si="28"/>
        <v>1508333.3333333333</v>
      </c>
      <c r="I84" s="4">
        <f>+'202401anual'!E140</f>
        <v>1508333.3333333333</v>
      </c>
      <c r="J84" s="4"/>
      <c r="K84" s="4">
        <f t="shared" si="37"/>
        <v>1508333.3333333333</v>
      </c>
      <c r="L84" s="4">
        <f>+'202401anual'!F140</f>
        <v>1508333.3333333333</v>
      </c>
      <c r="M84" s="4"/>
      <c r="N84" s="4">
        <f t="shared" si="38"/>
        <v>1508333.3333333333</v>
      </c>
      <c r="O84" s="4">
        <f>+'202401anual'!G140</f>
        <v>1508333.3333333333</v>
      </c>
      <c r="P84" s="4"/>
      <c r="Q84" s="4">
        <f t="shared" si="39"/>
        <v>1508333.3333333333</v>
      </c>
      <c r="R84" s="4">
        <f>+'202401anual'!H140</f>
        <v>1508333.3333333333</v>
      </c>
      <c r="S84" s="4"/>
      <c r="T84" s="4">
        <f t="shared" si="40"/>
        <v>1508333.3333333333</v>
      </c>
      <c r="U84" s="4"/>
      <c r="V84" s="4"/>
      <c r="W84" s="4"/>
      <c r="X84" s="4"/>
      <c r="Y84" s="4"/>
      <c r="Z84" s="4"/>
      <c r="AA84" s="4">
        <f t="shared" si="41"/>
        <v>7541666.666666666</v>
      </c>
      <c r="AB84" s="4">
        <f t="shared" si="41"/>
        <v>0</v>
      </c>
      <c r="AC84" s="4">
        <f t="shared" si="42"/>
        <v>7541666.666666666</v>
      </c>
      <c r="AD84" s="43">
        <f t="shared" si="43"/>
        <v>100</v>
      </c>
      <c r="AE84" s="34"/>
      <c r="AF84" s="38"/>
      <c r="AG84" s="38"/>
      <c r="AH84" s="2"/>
      <c r="AI84" s="2"/>
    </row>
    <row r="85" spans="1:38" x14ac:dyDescent="0.25">
      <c r="A85" s="5" t="s">
        <v>38</v>
      </c>
      <c r="B85" s="4">
        <v>25200000</v>
      </c>
      <c r="C85" s="4">
        <v>2100000</v>
      </c>
      <c r="D85" s="4">
        <v>2320000</v>
      </c>
      <c r="E85" s="4">
        <f t="shared" si="27"/>
        <v>-220000</v>
      </c>
      <c r="F85" s="4">
        <f>+'202401anual'!D141</f>
        <v>2464000</v>
      </c>
      <c r="G85" s="4">
        <v>3230000</v>
      </c>
      <c r="H85" s="4">
        <f t="shared" si="28"/>
        <v>-766000</v>
      </c>
      <c r="I85" s="4">
        <f>+'202401anual'!E141</f>
        <v>2464000</v>
      </c>
      <c r="J85" s="4">
        <v>2320000</v>
      </c>
      <c r="K85" s="4">
        <f t="shared" si="37"/>
        <v>144000</v>
      </c>
      <c r="L85" s="4">
        <f>+'202401anual'!F141</f>
        <v>2464000</v>
      </c>
      <c r="M85" s="4">
        <v>2320000</v>
      </c>
      <c r="N85" s="4">
        <f t="shared" si="38"/>
        <v>144000</v>
      </c>
      <c r="O85" s="4">
        <f>+'202401anual'!G141</f>
        <v>2464000</v>
      </c>
      <c r="P85" s="4">
        <v>2320000</v>
      </c>
      <c r="Q85" s="4">
        <f t="shared" si="39"/>
        <v>144000</v>
      </c>
      <c r="R85" s="4">
        <f>+'202401anual'!H141</f>
        <v>2464000</v>
      </c>
      <c r="S85" s="4"/>
      <c r="T85" s="4">
        <f t="shared" si="40"/>
        <v>2464000</v>
      </c>
      <c r="U85" s="4"/>
      <c r="V85" s="4"/>
      <c r="W85" s="4"/>
      <c r="X85" s="4"/>
      <c r="Y85" s="4"/>
      <c r="Z85" s="4"/>
      <c r="AA85" s="4">
        <f t="shared" si="41"/>
        <v>14420000</v>
      </c>
      <c r="AB85" s="4">
        <f t="shared" si="41"/>
        <v>12510000</v>
      </c>
      <c r="AC85" s="4">
        <f t="shared" si="42"/>
        <v>1910000</v>
      </c>
      <c r="AD85" s="43">
        <f t="shared" si="43"/>
        <v>13.245492371705964</v>
      </c>
      <c r="AE85" s="34"/>
      <c r="AF85" s="38"/>
      <c r="AG85" s="38"/>
      <c r="AH85" s="2"/>
      <c r="AI85" s="2"/>
    </row>
    <row r="86" spans="1:38" x14ac:dyDescent="0.25">
      <c r="A86" s="5" t="s">
        <v>39</v>
      </c>
      <c r="B86" s="4">
        <v>709140000</v>
      </c>
      <c r="C86" s="4">
        <v>59095000</v>
      </c>
      <c r="D86" s="4">
        <v>53576000</v>
      </c>
      <c r="E86" s="4">
        <f t="shared" si="27"/>
        <v>5519000</v>
      </c>
      <c r="F86" s="4">
        <f>+'202401anual'!D142</f>
        <v>63728000</v>
      </c>
      <c r="G86" s="4">
        <v>53576000</v>
      </c>
      <c r="H86" s="4">
        <f t="shared" si="28"/>
        <v>10152000</v>
      </c>
      <c r="I86" s="4">
        <f>+'202401anual'!E142</f>
        <v>9454400</v>
      </c>
      <c r="J86" s="4">
        <v>53576000</v>
      </c>
      <c r="K86" s="4">
        <f t="shared" si="37"/>
        <v>-44121600</v>
      </c>
      <c r="L86" s="4">
        <f>+'202401anual'!F142</f>
        <v>9454400</v>
      </c>
      <c r="M86" s="4">
        <v>53576000</v>
      </c>
      <c r="N86" s="4">
        <f t="shared" si="38"/>
        <v>-44121600</v>
      </c>
      <c r="O86" s="4">
        <f>+'202401anual'!G142</f>
        <v>9454400</v>
      </c>
      <c r="P86" s="4">
        <v>53576000</v>
      </c>
      <c r="Q86" s="4">
        <f t="shared" si="39"/>
        <v>-44121600</v>
      </c>
      <c r="R86" s="4">
        <f>+'202401anual'!H142</f>
        <v>9454400</v>
      </c>
      <c r="S86" s="4"/>
      <c r="T86" s="4">
        <f t="shared" si="40"/>
        <v>9454400</v>
      </c>
      <c r="U86" s="4"/>
      <c r="V86" s="4"/>
      <c r="W86" s="4"/>
      <c r="X86" s="4"/>
      <c r="Y86" s="4"/>
      <c r="Z86" s="4"/>
      <c r="AA86" s="4">
        <f t="shared" si="41"/>
        <v>160640600</v>
      </c>
      <c r="AB86" s="4">
        <f t="shared" si="41"/>
        <v>267880000</v>
      </c>
      <c r="AC86" s="4">
        <f t="shared" si="42"/>
        <v>-107239400</v>
      </c>
      <c r="AD86" s="43">
        <f t="shared" si="43"/>
        <v>-66.757345278839836</v>
      </c>
      <c r="AE86" s="34"/>
      <c r="AF86" s="38"/>
      <c r="AG86" s="38"/>
      <c r="AH86" s="2"/>
      <c r="AI86" s="2"/>
    </row>
    <row r="87" spans="1:38" x14ac:dyDescent="0.25">
      <c r="A87" s="12" t="s">
        <v>53</v>
      </c>
      <c r="B87" s="8">
        <f>SUM(B35:B86)</f>
        <v>2441516142</v>
      </c>
      <c r="C87" s="8">
        <f t="shared" ref="C87:AC87" si="44">SUM(C35:C86)</f>
        <v>179785359.61327934</v>
      </c>
      <c r="D87" s="8">
        <f t="shared" si="44"/>
        <v>131905273</v>
      </c>
      <c r="E87" s="8">
        <f t="shared" si="44"/>
        <v>47880086.61327935</v>
      </c>
      <c r="F87" s="8" t="e">
        <f t="shared" si="44"/>
        <v>#REF!</v>
      </c>
      <c r="G87" s="8">
        <f t="shared" si="44"/>
        <v>144410432</v>
      </c>
      <c r="H87" s="8" t="e">
        <f t="shared" si="44"/>
        <v>#REF!</v>
      </c>
      <c r="I87" s="8" t="e">
        <f t="shared" si="44"/>
        <v>#REF!</v>
      </c>
      <c r="J87" s="8">
        <f t="shared" si="44"/>
        <v>155506366.09</v>
      </c>
      <c r="K87" s="8" t="e">
        <f t="shared" si="44"/>
        <v>#REF!</v>
      </c>
      <c r="L87" s="8" t="e">
        <f t="shared" si="44"/>
        <v>#REF!</v>
      </c>
      <c r="M87" s="8">
        <f t="shared" si="44"/>
        <v>158068177.80000001</v>
      </c>
      <c r="N87" s="8" t="e">
        <f t="shared" si="44"/>
        <v>#REF!</v>
      </c>
      <c r="O87" s="8" t="e">
        <f t="shared" si="44"/>
        <v>#REF!</v>
      </c>
      <c r="P87" s="8">
        <f t="shared" si="44"/>
        <v>165802071.647838</v>
      </c>
      <c r="Q87" s="8" t="e">
        <f t="shared" si="44"/>
        <v>#REF!</v>
      </c>
      <c r="R87" s="8" t="e">
        <f t="shared" si="44"/>
        <v>#REF!</v>
      </c>
      <c r="S87" s="8">
        <f t="shared" si="44"/>
        <v>0</v>
      </c>
      <c r="T87" s="8" t="e">
        <f t="shared" si="44"/>
        <v>#REF!</v>
      </c>
      <c r="U87" s="8">
        <f t="shared" si="44"/>
        <v>0</v>
      </c>
      <c r="V87" s="8">
        <f t="shared" si="44"/>
        <v>0</v>
      </c>
      <c r="W87" s="8">
        <f t="shared" si="44"/>
        <v>0</v>
      </c>
      <c r="X87" s="8">
        <f t="shared" si="44"/>
        <v>0</v>
      </c>
      <c r="Y87" s="8">
        <f t="shared" si="44"/>
        <v>0</v>
      </c>
      <c r="Z87" s="8">
        <f t="shared" si="44"/>
        <v>0</v>
      </c>
      <c r="AA87" s="8" t="e">
        <f t="shared" si="44"/>
        <v>#REF!</v>
      </c>
      <c r="AB87" s="8">
        <f t="shared" si="44"/>
        <v>755692320.53783798</v>
      </c>
      <c r="AC87" s="8" t="e">
        <f t="shared" si="44"/>
        <v>#REF!</v>
      </c>
      <c r="AD87" s="31" t="e">
        <f t="shared" ref="AD87:AD89" si="45">+AC87/AA87</f>
        <v>#REF!</v>
      </c>
      <c r="AE87" s="34" t="e">
        <f>+H87/F87</f>
        <v>#REF!</v>
      </c>
      <c r="AF87" s="39"/>
      <c r="AG87" s="39"/>
      <c r="AH87" s="2"/>
      <c r="AI87" s="2"/>
      <c r="AK87" s="2"/>
    </row>
    <row r="88" spans="1:38" s="1" customFormat="1" x14ac:dyDescent="0.25">
      <c r="A88" s="12" t="s">
        <v>62</v>
      </c>
      <c r="B88" s="15">
        <f>+B87+B34+B24</f>
        <v>13708301636</v>
      </c>
      <c r="C88" s="15">
        <f>+C87+C34+C24</f>
        <v>1232636553.2146487</v>
      </c>
      <c r="D88" s="15">
        <f t="shared" ref="D88:AC88" si="46">+D87+D34+D24</f>
        <v>334717391.36000001</v>
      </c>
      <c r="E88" s="15">
        <f t="shared" si="46"/>
        <v>897919161.85464871</v>
      </c>
      <c r="F88" s="15" t="e">
        <f t="shared" si="46"/>
        <v>#REF!</v>
      </c>
      <c r="G88" s="15">
        <f t="shared" si="46"/>
        <v>502692578.63999999</v>
      </c>
      <c r="H88" s="15" t="e">
        <f t="shared" si="46"/>
        <v>#REF!</v>
      </c>
      <c r="I88" s="15" t="e">
        <f t="shared" si="46"/>
        <v>#REF!</v>
      </c>
      <c r="J88" s="15" t="e">
        <f t="shared" si="46"/>
        <v>#REF!</v>
      </c>
      <c r="K88" s="15" t="e">
        <f t="shared" si="46"/>
        <v>#REF!</v>
      </c>
      <c r="L88" s="15" t="e">
        <f t="shared" si="46"/>
        <v>#REF!</v>
      </c>
      <c r="M88" s="15" t="e">
        <f t="shared" si="46"/>
        <v>#REF!</v>
      </c>
      <c r="N88" s="15" t="e">
        <f t="shared" si="46"/>
        <v>#REF!</v>
      </c>
      <c r="O88" s="15" t="e">
        <f t="shared" si="46"/>
        <v>#REF!</v>
      </c>
      <c r="P88" s="15" t="e">
        <f t="shared" si="46"/>
        <v>#REF!</v>
      </c>
      <c r="Q88" s="15" t="e">
        <f t="shared" si="46"/>
        <v>#REF!</v>
      </c>
      <c r="R88" s="15" t="e">
        <f t="shared" si="46"/>
        <v>#REF!</v>
      </c>
      <c r="S88" s="15" t="e">
        <f t="shared" si="46"/>
        <v>#REF!</v>
      </c>
      <c r="T88" s="15" t="e">
        <f t="shared" si="46"/>
        <v>#REF!</v>
      </c>
      <c r="U88" s="15">
        <f t="shared" si="46"/>
        <v>0</v>
      </c>
      <c r="V88" s="15">
        <f t="shared" si="46"/>
        <v>0</v>
      </c>
      <c r="W88" s="15">
        <f t="shared" si="46"/>
        <v>0</v>
      </c>
      <c r="X88" s="15">
        <f t="shared" si="46"/>
        <v>0</v>
      </c>
      <c r="Y88" s="15">
        <f t="shared" si="46"/>
        <v>0</v>
      </c>
      <c r="Z88" s="15">
        <f t="shared" si="46"/>
        <v>0</v>
      </c>
      <c r="AA88" s="15" t="e">
        <f>+AA87+AA34+AA24</f>
        <v>#REF!</v>
      </c>
      <c r="AB88" s="15" t="e">
        <f t="shared" si="46"/>
        <v>#VALUE!</v>
      </c>
      <c r="AC88" s="15" t="e">
        <f t="shared" si="46"/>
        <v>#REF!</v>
      </c>
      <c r="AD88" s="31" t="e">
        <f t="shared" si="45"/>
        <v>#REF!</v>
      </c>
      <c r="AE88" s="34" t="e">
        <f>+H88/F88</f>
        <v>#REF!</v>
      </c>
      <c r="AF88" s="40" t="e">
        <f>+Q87/O87*100</f>
        <v>#REF!</v>
      </c>
      <c r="AG88" s="40"/>
      <c r="AH88" s="2"/>
      <c r="AI88" s="2"/>
    </row>
    <row r="89" spans="1:38" ht="19.5" thickBot="1" x14ac:dyDescent="0.3">
      <c r="A89" s="13" t="s">
        <v>0</v>
      </c>
      <c r="B89" s="9">
        <f>+B12-B88</f>
        <v>-9274299629.9527454</v>
      </c>
      <c r="C89" s="9">
        <f>+C12-C88</f>
        <v>-851644203.21464872</v>
      </c>
      <c r="D89" s="9">
        <f t="shared" ref="D89:AC89" si="47">+D12-D88</f>
        <v>-299698994.05000001</v>
      </c>
      <c r="E89" s="9">
        <f t="shared" si="47"/>
        <v>-551945209.16464877</v>
      </c>
      <c r="F89" s="9" t="e">
        <f t="shared" si="47"/>
        <v>#REF!</v>
      </c>
      <c r="G89" s="9">
        <f t="shared" si="47"/>
        <v>-468930778.63999999</v>
      </c>
      <c r="H89" s="9" t="e">
        <f t="shared" si="47"/>
        <v>#REF!</v>
      </c>
      <c r="I89" s="9" t="e">
        <f t="shared" si="47"/>
        <v>#REF!</v>
      </c>
      <c r="J89" s="9" t="e">
        <f t="shared" si="47"/>
        <v>#REF!</v>
      </c>
      <c r="K89" s="9" t="e">
        <f t="shared" si="47"/>
        <v>#REF!</v>
      </c>
      <c r="L89" s="9" t="e">
        <f t="shared" si="47"/>
        <v>#REF!</v>
      </c>
      <c r="M89" s="9" t="e">
        <f t="shared" si="47"/>
        <v>#REF!</v>
      </c>
      <c r="N89" s="9" t="e">
        <f t="shared" si="47"/>
        <v>#REF!</v>
      </c>
      <c r="O89" s="9" t="e">
        <f t="shared" si="47"/>
        <v>#REF!</v>
      </c>
      <c r="P89" s="9" t="e">
        <f t="shared" si="47"/>
        <v>#REF!</v>
      </c>
      <c r="Q89" s="9" t="e">
        <f t="shared" si="47"/>
        <v>#REF!</v>
      </c>
      <c r="R89" s="9" t="e">
        <f t="shared" si="47"/>
        <v>#REF!</v>
      </c>
      <c r="S89" s="9" t="e">
        <f t="shared" si="47"/>
        <v>#REF!</v>
      </c>
      <c r="T89" s="9" t="e">
        <f t="shared" si="47"/>
        <v>#REF!</v>
      </c>
      <c r="U89" s="9">
        <f t="shared" si="47"/>
        <v>0</v>
      </c>
      <c r="V89" s="9">
        <f t="shared" si="47"/>
        <v>0</v>
      </c>
      <c r="W89" s="9">
        <f t="shared" si="47"/>
        <v>0</v>
      </c>
      <c r="X89" s="9">
        <f t="shared" si="47"/>
        <v>0</v>
      </c>
      <c r="Y89" s="9">
        <f t="shared" si="47"/>
        <v>0</v>
      </c>
      <c r="Z89" s="9">
        <f t="shared" si="47"/>
        <v>0</v>
      </c>
      <c r="AA89" s="9" t="e">
        <f t="shared" si="47"/>
        <v>#REF!</v>
      </c>
      <c r="AB89" s="9" t="e">
        <f t="shared" si="47"/>
        <v>#VALUE!</v>
      </c>
      <c r="AC89" s="9" t="e">
        <f t="shared" si="47"/>
        <v>#REF!</v>
      </c>
      <c r="AD89" s="32" t="e">
        <f t="shared" si="45"/>
        <v>#REF!</v>
      </c>
      <c r="AE89" s="34" t="e">
        <f>+H89/F89</f>
        <v>#REF!</v>
      </c>
      <c r="AF89" s="41"/>
      <c r="AG89" s="41"/>
      <c r="AH89" s="2"/>
      <c r="AI89" s="2"/>
    </row>
    <row r="90" spans="1:38" x14ac:dyDescent="0.25">
      <c r="D90" s="2"/>
      <c r="G90" s="40"/>
      <c r="H90" s="40"/>
      <c r="I90" s="2"/>
      <c r="J90" s="2"/>
      <c r="K90" s="2"/>
      <c r="R90" s="2">
        <f>+'202401anual'!H144-9590000000</f>
        <v>-9009108058.9369469</v>
      </c>
      <c r="S90" s="2"/>
      <c r="T90" s="2"/>
      <c r="V90" s="2"/>
      <c r="W90" s="2"/>
      <c r="X90" s="2"/>
      <c r="Y90" s="2"/>
      <c r="AI90" s="2"/>
    </row>
    <row r="91" spans="1:38" x14ac:dyDescent="0.25">
      <c r="G91" s="35"/>
      <c r="H91" s="35"/>
      <c r="I91" s="2" t="s">
        <v>59</v>
      </c>
      <c r="J91" s="2"/>
      <c r="K91" s="2"/>
      <c r="P91" s="24" t="e">
        <f>+P88/O88*100</f>
        <v>#REF!</v>
      </c>
      <c r="R91" s="2"/>
      <c r="S91" s="2"/>
      <c r="T91" s="2"/>
      <c r="V91" s="2"/>
      <c r="AB91" s="2" t="e">
        <f>+D89+G89+J89+M89+P89+S89</f>
        <v>#REF!</v>
      </c>
      <c r="AC91" s="2"/>
      <c r="AF91" s="2"/>
      <c r="AI91" s="2" t="e">
        <f>+#REF!</f>
        <v>#REF!</v>
      </c>
      <c r="AJ91" s="20"/>
      <c r="AL91" s="2"/>
    </row>
    <row r="92" spans="1:38" x14ac:dyDescent="0.25">
      <c r="B92" s="2"/>
      <c r="I92" s="2"/>
      <c r="J92" s="2"/>
      <c r="K92" s="2"/>
      <c r="R92" s="2" t="e">
        <f>+C88+F88+I88+L88+O88+R88</f>
        <v>#REF!</v>
      </c>
      <c r="S92" s="2"/>
      <c r="T92" s="2"/>
      <c r="V92" s="2"/>
      <c r="AB92" s="2" t="e">
        <f>+C88+F88+I88+L88+O88+R88</f>
        <v>#REF!</v>
      </c>
      <c r="AI92" s="2">
        <f>815000000*1.07</f>
        <v>872050000</v>
      </c>
      <c r="AJ92" s="20"/>
      <c r="AL92" s="2"/>
    </row>
    <row r="93" spans="1:38" x14ac:dyDescent="0.25">
      <c r="B93" s="2"/>
      <c r="V93" s="2"/>
      <c r="AB93" s="2" t="e">
        <f>+E89+H89+K89+N89+Q89+S89</f>
        <v>#REF!</v>
      </c>
      <c r="AC93" s="3"/>
      <c r="AF93" s="2"/>
      <c r="AI93" s="2">
        <v>-1173139539</v>
      </c>
      <c r="AJ93" s="20"/>
    </row>
    <row r="94" spans="1:38" x14ac:dyDescent="0.25">
      <c r="V94" s="2"/>
      <c r="AC94" s="2"/>
      <c r="AI94" s="2">
        <v>-272818809</v>
      </c>
      <c r="AJ94" s="20">
        <v>371527244</v>
      </c>
      <c r="AK94" s="2">
        <f>+AJ94+AI94</f>
        <v>98708435</v>
      </c>
    </row>
    <row r="95" spans="1:38" x14ac:dyDescent="0.25">
      <c r="B95" s="2"/>
      <c r="V95" s="2"/>
      <c r="AC95" s="2"/>
      <c r="AI95" s="2">
        <f>-(2000000-1920114)*12</f>
        <v>-958632</v>
      </c>
      <c r="AJ95" s="2"/>
    </row>
    <row r="96" spans="1:38" x14ac:dyDescent="0.25">
      <c r="D96" s="2"/>
      <c r="E96" s="2"/>
      <c r="V96" s="2"/>
      <c r="AA96" s="2"/>
      <c r="AB96" s="2"/>
      <c r="AC96" s="3"/>
      <c r="AI96" s="2">
        <v>-49700000</v>
      </c>
      <c r="AJ96" s="2"/>
    </row>
    <row r="97" spans="3:35" x14ac:dyDescent="0.25">
      <c r="C97" s="3"/>
      <c r="D97" s="3"/>
      <c r="E97" s="42"/>
      <c r="AB97" s="2"/>
      <c r="AC97" s="24"/>
      <c r="AI97" s="2" t="e">
        <f>-AC33</f>
        <v>#REF!</v>
      </c>
    </row>
    <row r="98" spans="3:35" x14ac:dyDescent="0.25">
      <c r="D98" s="2"/>
      <c r="AB98" s="2"/>
      <c r="AI98" s="2">
        <f>-AC81</f>
        <v>0</v>
      </c>
    </row>
    <row r="99" spans="3:35" x14ac:dyDescent="0.25">
      <c r="AI99" s="2">
        <f>+AH23</f>
        <v>0</v>
      </c>
    </row>
    <row r="100" spans="3:35" x14ac:dyDescent="0.25">
      <c r="D100" s="2"/>
      <c r="AI100" s="2" t="e">
        <f>SUM(AI91:AI99)</f>
        <v>#REF!</v>
      </c>
    </row>
    <row r="101" spans="3:35" x14ac:dyDescent="0.25">
      <c r="AB101" s="2"/>
      <c r="AI101" s="2" t="e">
        <f>+AI100-AC89</f>
        <v>#REF!</v>
      </c>
    </row>
    <row r="104" spans="3:35" x14ac:dyDescent="0.25">
      <c r="P104" s="2"/>
    </row>
  </sheetData>
  <autoFilter ref="A5:AD89" xr:uid="{4C861BE8-7E5D-4966-A65F-7599F5FEBCAA}"/>
  <mergeCells count="9">
    <mergeCell ref="A1:C1"/>
    <mergeCell ref="A3:AD3"/>
    <mergeCell ref="C4:E4"/>
    <mergeCell ref="F4:H4"/>
    <mergeCell ref="I4:K4"/>
    <mergeCell ref="L4:N4"/>
    <mergeCell ref="O4:Q4"/>
    <mergeCell ref="R4:T4"/>
    <mergeCell ref="AA4:AD4"/>
  </mergeCells>
  <pageMargins left="0.39370078740157483" right="0.39370078740157483" top="0.19685039370078741" bottom="0.39370078740157483" header="0.31496062992125984" footer="0.31496062992125984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94F7BA-7178-4E52-A3DE-25B29DEDE3B6}">
  <dimension ref="A1:Z157"/>
  <sheetViews>
    <sheetView showGridLines="0" zoomScale="86" zoomScaleNormal="86" workbookViewId="0">
      <pane xSplit="2" ySplit="5" topLeftCell="C6" activePane="bottomRight" state="frozen"/>
      <selection activeCell="F87" sqref="F87"/>
      <selection pane="topRight" activeCell="F87" sqref="F87"/>
      <selection pane="bottomLeft" activeCell="F87" sqref="F87"/>
      <selection pane="bottomRight" activeCell="O8" sqref="O8"/>
    </sheetView>
  </sheetViews>
  <sheetFormatPr baseColWidth="10" defaultColWidth="11.42578125" defaultRowHeight="15" x14ac:dyDescent="0.25"/>
  <cols>
    <col min="1" max="1" width="54.140625" customWidth="1"/>
    <col min="2" max="2" width="17.28515625" bestFit="1" customWidth="1"/>
    <col min="3" max="4" width="15.5703125" customWidth="1"/>
    <col min="5" max="5" width="16.7109375" customWidth="1"/>
    <col min="6" max="7" width="16.140625" customWidth="1"/>
    <col min="8" max="8" width="16.7109375" customWidth="1"/>
    <col min="9" max="9" width="17.85546875" customWidth="1"/>
    <col min="10" max="13" width="16.7109375" customWidth="1"/>
    <col min="14" max="14" width="16.7109375" bestFit="1" customWidth="1"/>
    <col min="15" max="15" width="17.85546875" bestFit="1" customWidth="1"/>
    <col min="16" max="16" width="19.7109375" bestFit="1" customWidth="1"/>
    <col min="17" max="17" width="15.85546875" bestFit="1" customWidth="1"/>
    <col min="18" max="18" width="15.85546875" customWidth="1"/>
    <col min="19" max="19" width="15.5703125" customWidth="1"/>
    <col min="20" max="20" width="17.28515625" customWidth="1"/>
    <col min="21" max="21" width="18.42578125" customWidth="1"/>
    <col min="22" max="24" width="15.5703125" customWidth="1"/>
    <col min="25" max="26" width="14" customWidth="1"/>
    <col min="27" max="27" width="11.42578125" customWidth="1"/>
  </cols>
  <sheetData>
    <row r="1" spans="1:20" x14ac:dyDescent="0.25">
      <c r="A1" s="98" t="s">
        <v>51</v>
      </c>
      <c r="B1" s="98"/>
      <c r="C1" s="98"/>
    </row>
    <row r="2" spans="1:20" x14ac:dyDescent="0.25">
      <c r="A2" s="14"/>
      <c r="B2" s="14"/>
      <c r="C2" s="14"/>
    </row>
    <row r="3" spans="1:20" x14ac:dyDescent="0.25">
      <c r="A3" s="99"/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23"/>
      <c r="Q3" s="23"/>
      <c r="R3" s="23"/>
    </row>
    <row r="4" spans="1:20" ht="15.75" thickBot="1" x14ac:dyDescent="0.3">
      <c r="A4" s="23"/>
      <c r="B4" s="23"/>
      <c r="C4" s="25"/>
      <c r="D4" s="25"/>
      <c r="E4" s="23"/>
      <c r="F4" s="23"/>
      <c r="G4" s="23"/>
      <c r="H4" s="23"/>
      <c r="I4" s="23"/>
      <c r="J4" s="23"/>
      <c r="K4" s="23"/>
      <c r="L4" s="23"/>
      <c r="M4" s="23"/>
      <c r="N4" s="23"/>
      <c r="O4" s="44"/>
      <c r="P4" s="23"/>
      <c r="Q4" s="23"/>
      <c r="R4" s="23"/>
    </row>
    <row r="5" spans="1:20" s="19" customFormat="1" ht="30" x14ac:dyDescent="0.25">
      <c r="A5" s="16" t="s">
        <v>50</v>
      </c>
      <c r="B5" s="17" t="s">
        <v>126</v>
      </c>
      <c r="C5" s="17" t="s">
        <v>40</v>
      </c>
      <c r="D5" s="17" t="s">
        <v>41</v>
      </c>
      <c r="E5" s="17" t="s">
        <v>42</v>
      </c>
      <c r="F5" s="17" t="s">
        <v>43</v>
      </c>
      <c r="G5" s="17" t="s">
        <v>44</v>
      </c>
      <c r="H5" s="17" t="s">
        <v>6</v>
      </c>
      <c r="I5" s="17" t="s">
        <v>5</v>
      </c>
      <c r="J5" s="17" t="s">
        <v>45</v>
      </c>
      <c r="K5" s="17" t="s">
        <v>46</v>
      </c>
      <c r="L5" s="17" t="s">
        <v>47</v>
      </c>
      <c r="M5" s="17" t="s">
        <v>4</v>
      </c>
      <c r="N5" s="17" t="s">
        <v>3</v>
      </c>
      <c r="O5" s="28" t="s">
        <v>102</v>
      </c>
      <c r="P5" s="33"/>
      <c r="Q5" s="33"/>
      <c r="R5" s="33"/>
    </row>
    <row r="6" spans="1:20" x14ac:dyDescent="0.25">
      <c r="A6" s="5" t="s">
        <v>94</v>
      </c>
      <c r="B6" s="4">
        <v>286278840.2954188</v>
      </c>
      <c r="C6" s="4">
        <f>+'[7]Planeación 2024 P&amp;K Hoja de W'!K5</f>
        <v>23497414.696837816</v>
      </c>
      <c r="D6" s="4">
        <f>+'[7]Planeación 2024 P&amp;K Hoja de W'!L5</f>
        <v>23497414.696837816</v>
      </c>
      <c r="E6" s="4">
        <f>+'[7]Planeación 2024 P&amp;K Hoja de W'!M5</f>
        <v>23497414.696837816</v>
      </c>
      <c r="F6" s="4">
        <f>+'[7]Planeación 2024 P&amp;K Hoja de W'!N5</f>
        <v>23497414.696837816</v>
      </c>
      <c r="G6" s="4">
        <f>+'[7]Planeación 2024 P&amp;K Hoja de W'!O5</f>
        <v>23497414.696837816</v>
      </c>
      <c r="H6" s="4">
        <f>+'[7]Planeación 2024 P&amp;K Hoja de W'!P5</f>
        <v>23497414.696837816</v>
      </c>
      <c r="I6" s="4">
        <f>+'[7]Planeación 2024 P&amp;K Hoja de W'!Q5</f>
        <v>23497414.696837816</v>
      </c>
      <c r="J6" s="4">
        <f>+'[7]Planeación 2024 P&amp;K Hoja de W'!R5</f>
        <v>24359387.483510818</v>
      </c>
      <c r="K6" s="4">
        <f>+'[7]Planeación 2024 P&amp;K Hoja de W'!S5</f>
        <v>24359387.483510818</v>
      </c>
      <c r="L6" s="4">
        <f>+'[7]Planeación 2024 P&amp;K Hoja de W'!T5</f>
        <v>24359387.483510818</v>
      </c>
      <c r="M6" s="4">
        <f>+'[7]Planeación 2024 P&amp;K Hoja de W'!U5</f>
        <v>24359387.483510818</v>
      </c>
      <c r="N6" s="4">
        <f>+'[7]Planeación 2024 P&amp;K Hoja de W'!V5</f>
        <v>24359387.483510818</v>
      </c>
      <c r="O6" s="4">
        <f>SUM(C6:N6)</f>
        <v>286278840.2954188</v>
      </c>
      <c r="P6" s="34">
        <f>+O6-B6</f>
        <v>0</v>
      </c>
      <c r="Q6" s="40">
        <f>SUM(C6:N6)-O6</f>
        <v>0</v>
      </c>
      <c r="R6" s="34"/>
      <c r="S6" s="2"/>
      <c r="T6" s="2"/>
    </row>
    <row r="7" spans="1:20" x14ac:dyDescent="0.25">
      <c r="A7" s="5" t="s">
        <v>95</v>
      </c>
      <c r="B7" s="4">
        <v>841051204.84357905</v>
      </c>
      <c r="C7" s="4">
        <f>+'[7]Planeación 2024 P&amp;K Hoja de W'!K6</f>
        <v>69032447.25</v>
      </c>
      <c r="D7" s="4">
        <f>+'[7]Planeación 2024 P&amp;K Hoja de W'!L6</f>
        <v>69032447.25</v>
      </c>
      <c r="E7" s="4">
        <f>+'[7]Planeación 2024 P&amp;K Hoja de W'!M6</f>
        <v>69032447.25</v>
      </c>
      <c r="F7" s="4">
        <f>+'[7]Planeación 2024 P&amp;K Hoja de W'!N6</f>
        <v>69032447.25</v>
      </c>
      <c r="G7" s="4">
        <f>+'[7]Planeación 2024 P&amp;K Hoja de W'!O6</f>
        <v>69032447.25</v>
      </c>
      <c r="H7" s="4">
        <f>+'[7]Planeación 2024 P&amp;K Hoja de W'!P6</f>
        <v>69032447.25</v>
      </c>
      <c r="I7" s="4">
        <f>+'[7]Planeación 2024 P&amp;K Hoja de W'!Q6</f>
        <v>69032447.25</v>
      </c>
      <c r="J7" s="4">
        <f>+'[7]Planeación 2024 P&amp;K Hoja de W'!R6</f>
        <v>71564814.81871587</v>
      </c>
      <c r="K7" s="4">
        <f>+'[7]Planeación 2024 P&amp;K Hoja de W'!S6</f>
        <v>71564814.81871587</v>
      </c>
      <c r="L7" s="4">
        <f>+'[7]Planeación 2024 P&amp;K Hoja de W'!T6</f>
        <v>71564814.81871587</v>
      </c>
      <c r="M7" s="4">
        <f>+'[7]Planeación 2024 P&amp;K Hoja de W'!U6</f>
        <v>71564814.81871587</v>
      </c>
      <c r="N7" s="4">
        <f>+'[7]Planeación 2024 P&amp;K Hoja de W'!V6</f>
        <v>71564814.81871587</v>
      </c>
      <c r="O7" s="4">
        <f t="shared" ref="O7:O13" si="0">SUM(C7:N7)</f>
        <v>841051204.84357905</v>
      </c>
      <c r="P7" s="34">
        <f t="shared" ref="P7:P70" si="1">+O7-B7</f>
        <v>0</v>
      </c>
      <c r="Q7" s="40">
        <f t="shared" ref="Q7:Q70" si="2">SUM(C7:N7)-O7</f>
        <v>0</v>
      </c>
      <c r="R7" s="34"/>
      <c r="S7" s="2"/>
      <c r="T7" s="2"/>
    </row>
    <row r="8" spans="1:20" x14ac:dyDescent="0.25">
      <c r="A8" s="5" t="s">
        <v>127</v>
      </c>
      <c r="B8" s="4">
        <v>18000000</v>
      </c>
      <c r="C8" s="4">
        <f>+'[7]Planeación 2024 P&amp;K Hoja de W'!K7</f>
        <v>1500000</v>
      </c>
      <c r="D8" s="4">
        <f>+'[7]Planeación 2024 P&amp;K Hoja de W'!L7</f>
        <v>1500000</v>
      </c>
      <c r="E8" s="4">
        <f>+'[7]Planeación 2024 P&amp;K Hoja de W'!M7</f>
        <v>1500000</v>
      </c>
      <c r="F8" s="4">
        <f>+'[7]Planeación 2024 P&amp;K Hoja de W'!N7</f>
        <v>1500000</v>
      </c>
      <c r="G8" s="4">
        <f>+'[7]Planeación 2024 P&amp;K Hoja de W'!O7</f>
        <v>1500000</v>
      </c>
      <c r="H8" s="4">
        <f>+'[7]Planeación 2024 P&amp;K Hoja de W'!P7</f>
        <v>1500000</v>
      </c>
      <c r="I8" s="4">
        <f>+'[7]Planeación 2024 P&amp;K Hoja de W'!Q7</f>
        <v>1500000</v>
      </c>
      <c r="J8" s="4">
        <f>+'[7]Planeación 2024 P&amp;K Hoja de W'!R7</f>
        <v>1500000</v>
      </c>
      <c r="K8" s="4">
        <f>+'[7]Planeación 2024 P&amp;K Hoja de W'!S7</f>
        <v>1500000</v>
      </c>
      <c r="L8" s="4">
        <f>+'[7]Planeación 2024 P&amp;K Hoja de W'!T7</f>
        <v>1500000</v>
      </c>
      <c r="M8" s="4">
        <f>+'[7]Planeación 2024 P&amp;K Hoja de W'!U7</f>
        <v>1500000</v>
      </c>
      <c r="N8" s="4">
        <f>+'[7]Planeación 2024 P&amp;K Hoja de W'!V7</f>
        <v>1500000</v>
      </c>
      <c r="O8" s="4">
        <f t="shared" si="0"/>
        <v>18000000</v>
      </c>
      <c r="P8" s="34">
        <f t="shared" si="1"/>
        <v>0</v>
      </c>
      <c r="Q8" s="40">
        <f t="shared" si="2"/>
        <v>0</v>
      </c>
      <c r="R8" s="34"/>
      <c r="S8" s="2"/>
      <c r="T8" s="2"/>
    </row>
    <row r="9" spans="1:20" x14ac:dyDescent="0.25">
      <c r="A9" s="5" t="s">
        <v>128</v>
      </c>
      <c r="B9" s="4">
        <v>792000</v>
      </c>
      <c r="C9" s="4">
        <f>+'[7]Planeación 2024 P&amp;K Hoja de W'!K8</f>
        <v>66000</v>
      </c>
      <c r="D9" s="4">
        <f>+'[7]Planeación 2024 P&amp;K Hoja de W'!L8</f>
        <v>66000</v>
      </c>
      <c r="E9" s="4">
        <f>+'[7]Planeación 2024 P&amp;K Hoja de W'!M8</f>
        <v>66000</v>
      </c>
      <c r="F9" s="4">
        <f>+'[7]Planeación 2024 P&amp;K Hoja de W'!N8</f>
        <v>66000</v>
      </c>
      <c r="G9" s="4">
        <f>+'[7]Planeación 2024 P&amp;K Hoja de W'!O8</f>
        <v>66000</v>
      </c>
      <c r="H9" s="4">
        <f>+'[7]Planeación 2024 P&amp;K Hoja de W'!P8</f>
        <v>66000</v>
      </c>
      <c r="I9" s="4">
        <f>+'[7]Planeación 2024 P&amp;K Hoja de W'!Q8</f>
        <v>66000</v>
      </c>
      <c r="J9" s="4">
        <f>+'[7]Planeación 2024 P&amp;K Hoja de W'!R8</f>
        <v>66000</v>
      </c>
      <c r="K9" s="4">
        <f>+'[7]Planeación 2024 P&amp;K Hoja de W'!S8</f>
        <v>66000</v>
      </c>
      <c r="L9" s="4">
        <f>+'[7]Planeación 2024 P&amp;K Hoja de W'!T8</f>
        <v>66000</v>
      </c>
      <c r="M9" s="4">
        <f>+'[7]Planeación 2024 P&amp;K Hoja de W'!U8</f>
        <v>66000</v>
      </c>
      <c r="N9" s="4">
        <f>+'[7]Planeación 2024 P&amp;K Hoja de W'!V8</f>
        <v>66000</v>
      </c>
      <c r="O9" s="4">
        <f t="shared" si="0"/>
        <v>792000</v>
      </c>
      <c r="P9" s="34">
        <f t="shared" si="1"/>
        <v>0</v>
      </c>
      <c r="Q9" s="40">
        <f t="shared" si="2"/>
        <v>0</v>
      </c>
      <c r="R9" s="34"/>
      <c r="S9" s="2"/>
      <c r="T9" s="2"/>
    </row>
    <row r="10" spans="1:20" x14ac:dyDescent="0.25">
      <c r="A10" s="5" t="s">
        <v>129</v>
      </c>
      <c r="B10" s="4">
        <v>1320797910.4947624</v>
      </c>
      <c r="C10" s="4">
        <f>+'[7]Planeación 2024 P&amp;K Hoja de W'!K9</f>
        <v>80662092.893341199</v>
      </c>
      <c r="D10" s="4">
        <f>+'[7]Planeación 2024 P&amp;K Hoja de W'!L9</f>
        <v>87150663.773341209</v>
      </c>
      <c r="E10" s="4">
        <f>+'[7]Planeación 2024 P&amp;K Hoja de W'!M9</f>
        <v>93639234.653341204</v>
      </c>
      <c r="F10" s="4">
        <f>+'[7]Planeación 2024 P&amp;K Hoja de W'!N9</f>
        <v>100127805.5333412</v>
      </c>
      <c r="G10" s="4">
        <f>+'[7]Planeación 2024 P&amp;K Hoja de W'!O9</f>
        <v>106616376.41334119</v>
      </c>
      <c r="H10" s="4">
        <f>+'[7]Planeación 2024 P&amp;K Hoja de W'!P9</f>
        <v>113104947.2933412</v>
      </c>
      <c r="I10" s="4">
        <f>+'[7]Planeación 2024 P&amp;K Hoja de W'!Q9</f>
        <v>119593518.1733412</v>
      </c>
      <c r="J10" s="4">
        <f>+'[7]Planeación 2024 P&amp;K Hoja de W'!R9</f>
        <v>123980654.35227481</v>
      </c>
      <c r="K10" s="4">
        <f>+'[7]Planeación 2024 P&amp;K Hoja de W'!S9</f>
        <v>123980654.35227481</v>
      </c>
      <c r="L10" s="4">
        <f>+'[7]Planeación 2024 P&amp;K Hoja de W'!T9</f>
        <v>123980654.35227481</v>
      </c>
      <c r="M10" s="4">
        <f>+'[7]Planeación 2024 P&amp;K Hoja de W'!U9</f>
        <v>123980654.35227481</v>
      </c>
      <c r="N10" s="4">
        <f>+'[7]Planeación 2024 P&amp;K Hoja de W'!V9</f>
        <v>123980654.35227481</v>
      </c>
      <c r="O10" s="4">
        <f t="shared" si="0"/>
        <v>1320797910.4947624</v>
      </c>
      <c r="P10" s="34">
        <f t="shared" si="1"/>
        <v>0</v>
      </c>
      <c r="Q10" s="40">
        <f t="shared" si="2"/>
        <v>0</v>
      </c>
      <c r="R10" s="34"/>
      <c r="S10" s="2"/>
      <c r="T10" s="2"/>
    </row>
    <row r="11" spans="1:20" x14ac:dyDescent="0.25">
      <c r="A11" s="5" t="str">
        <f>+'[7]Planeación 2024 P&amp;K Hoja de W'!$C$10</f>
        <v>Cargo fijo alcantarillado</v>
      </c>
      <c r="B11" s="4">
        <v>3454191.2229688521</v>
      </c>
      <c r="C11" s="4">
        <f>+'[7]Planeación 2024 P&amp;K Hoja de W'!K10</f>
        <v>283515.76220065932</v>
      </c>
      <c r="D11" s="4">
        <f>+'[7]Planeación 2024 P&amp;K Hoja de W'!L10</f>
        <v>283515.76220065932</v>
      </c>
      <c r="E11" s="4">
        <f>+'[7]Planeación 2024 P&amp;K Hoja de W'!M10</f>
        <v>283515.76220065932</v>
      </c>
      <c r="F11" s="4">
        <f>+'[7]Planeación 2024 P&amp;K Hoja de W'!N10</f>
        <v>283515.76220065932</v>
      </c>
      <c r="G11" s="4">
        <f>+'[7]Planeación 2024 P&amp;K Hoja de W'!O10</f>
        <v>283515.76220065932</v>
      </c>
      <c r="H11" s="4">
        <f>+'[7]Planeación 2024 P&amp;K Hoja de W'!P10</f>
        <v>283515.76220065932</v>
      </c>
      <c r="I11" s="4">
        <f>+'[7]Planeación 2024 P&amp;K Hoja de W'!Q10</f>
        <v>283515.76220065932</v>
      </c>
      <c r="J11" s="4">
        <f>+'[7]Planeación 2024 P&amp;K Hoja de W'!R10</f>
        <v>293916.17751284735</v>
      </c>
      <c r="K11" s="4">
        <f>+'[7]Planeación 2024 P&amp;K Hoja de W'!S10</f>
        <v>293916.17751284735</v>
      </c>
      <c r="L11" s="4">
        <f>+'[7]Planeación 2024 P&amp;K Hoja de W'!T10</f>
        <v>293916.17751284735</v>
      </c>
      <c r="M11" s="4">
        <f>+'[7]Planeación 2024 P&amp;K Hoja de W'!U10</f>
        <v>293916.17751284735</v>
      </c>
      <c r="N11" s="4">
        <f>+'[7]Planeación 2024 P&amp;K Hoja de W'!V10</f>
        <v>293916.17751284735</v>
      </c>
      <c r="O11" s="4">
        <f t="shared" si="0"/>
        <v>3454191.2229688521</v>
      </c>
      <c r="P11" s="34">
        <f t="shared" si="1"/>
        <v>0</v>
      </c>
      <c r="Q11" s="40">
        <f t="shared" si="2"/>
        <v>0</v>
      </c>
      <c r="R11" s="34"/>
      <c r="S11" s="2"/>
      <c r="T11" s="2"/>
    </row>
    <row r="12" spans="1:20" x14ac:dyDescent="0.25">
      <c r="A12" s="5" t="str">
        <f>+'[7]Planeación 2024 P&amp;K Hoja de W'!$C$11</f>
        <v>Cargo variable alcantarillado</v>
      </c>
      <c r="B12" s="4">
        <v>5851039.1350167179</v>
      </c>
      <c r="C12" s="4">
        <f>+'[7]Planeación 2024 P&amp;K Hoja de W'!K11</f>
        <v>480246.0874196685</v>
      </c>
      <c r="D12" s="4">
        <f>+'[7]Planeación 2024 P&amp;K Hoja de W'!L11</f>
        <v>480246.0874196685</v>
      </c>
      <c r="E12" s="4">
        <f>+'[7]Planeación 2024 P&amp;K Hoja de W'!M11</f>
        <v>480246.0874196685</v>
      </c>
      <c r="F12" s="4">
        <f>+'[7]Planeación 2024 P&amp;K Hoja de W'!N11</f>
        <v>480246.0874196685</v>
      </c>
      <c r="G12" s="4">
        <f>+'[7]Planeación 2024 P&amp;K Hoja de W'!O11</f>
        <v>480246.0874196685</v>
      </c>
      <c r="H12" s="4">
        <f>+'[7]Planeación 2024 P&amp;K Hoja de W'!P11</f>
        <v>480246.0874196685</v>
      </c>
      <c r="I12" s="4">
        <f>+'[7]Planeación 2024 P&amp;K Hoja de W'!Q11</f>
        <v>480246.0874196685</v>
      </c>
      <c r="J12" s="4">
        <f>+'[7]Planeación 2024 P&amp;K Hoja de W'!R11</f>
        <v>497863.30461580743</v>
      </c>
      <c r="K12" s="4">
        <f>+'[7]Planeación 2024 P&amp;K Hoja de W'!S11</f>
        <v>497863.30461580743</v>
      </c>
      <c r="L12" s="4">
        <f>+'[7]Planeación 2024 P&amp;K Hoja de W'!T11</f>
        <v>497863.30461580743</v>
      </c>
      <c r="M12" s="4">
        <f>+'[7]Planeación 2024 P&amp;K Hoja de W'!U11</f>
        <v>497863.30461580743</v>
      </c>
      <c r="N12" s="4">
        <f>+'[7]Planeación 2024 P&amp;K Hoja de W'!V11</f>
        <v>497863.30461580743</v>
      </c>
      <c r="O12" s="4">
        <f t="shared" si="0"/>
        <v>5851039.1350167179</v>
      </c>
      <c r="P12" s="34">
        <f t="shared" si="1"/>
        <v>0</v>
      </c>
      <c r="Q12" s="40">
        <f t="shared" si="2"/>
        <v>0</v>
      </c>
      <c r="R12" s="34"/>
      <c r="S12" s="2"/>
      <c r="T12" s="2"/>
    </row>
    <row r="13" spans="1:20" x14ac:dyDescent="0.25">
      <c r="A13" s="5" t="s">
        <v>130</v>
      </c>
      <c r="B13" s="4">
        <v>7463357206.8025599</v>
      </c>
      <c r="C13" s="4"/>
      <c r="D13" s="4"/>
      <c r="E13" s="4">
        <v>2500000000</v>
      </c>
      <c r="F13" s="4"/>
      <c r="G13" s="4"/>
      <c r="H13" s="4"/>
      <c r="I13" s="4">
        <v>4963357207</v>
      </c>
      <c r="J13" s="4">
        <v>0</v>
      </c>
      <c r="K13" s="4">
        <v>0</v>
      </c>
      <c r="L13" s="4">
        <v>0</v>
      </c>
      <c r="M13" s="4">
        <v>0</v>
      </c>
      <c r="N13" s="4">
        <v>0</v>
      </c>
      <c r="O13" s="4">
        <f t="shared" si="0"/>
        <v>7463357207</v>
      </c>
      <c r="P13" s="34">
        <f t="shared" si="1"/>
        <v>0.19744014739990234</v>
      </c>
      <c r="Q13" s="40">
        <f t="shared" si="2"/>
        <v>0</v>
      </c>
      <c r="R13" s="34"/>
      <c r="S13" s="2"/>
      <c r="T13" s="2"/>
    </row>
    <row r="14" spans="1:20" ht="18.75" x14ac:dyDescent="0.3">
      <c r="A14" s="11" t="s">
        <v>2</v>
      </c>
      <c r="B14" s="7">
        <f>SUM(B6:B13)</f>
        <v>9939582392.7943058</v>
      </c>
      <c r="C14" s="7">
        <f t="shared" ref="C14:N14" si="3">SUM(C6:C13)</f>
        <v>175521716.68979934</v>
      </c>
      <c r="D14" s="7">
        <f t="shared" si="3"/>
        <v>182010287.56979933</v>
      </c>
      <c r="E14" s="7">
        <f t="shared" si="3"/>
        <v>2688498858.4497995</v>
      </c>
      <c r="F14" s="7">
        <f t="shared" si="3"/>
        <v>194987429.32979932</v>
      </c>
      <c r="G14" s="7">
        <f t="shared" si="3"/>
        <v>201476000.20979932</v>
      </c>
      <c r="H14" s="7">
        <f t="shared" si="3"/>
        <v>207964571.08979931</v>
      </c>
      <c r="I14" s="7">
        <f t="shared" si="3"/>
        <v>5177810348.969799</v>
      </c>
      <c r="J14" s="7">
        <f t="shared" si="3"/>
        <v>222262636.13663015</v>
      </c>
      <c r="K14" s="7">
        <f t="shared" si="3"/>
        <v>222262636.13663015</v>
      </c>
      <c r="L14" s="7">
        <f t="shared" si="3"/>
        <v>222262636.13663015</v>
      </c>
      <c r="M14" s="7">
        <f t="shared" si="3"/>
        <v>222262636.13663015</v>
      </c>
      <c r="N14" s="7">
        <f t="shared" si="3"/>
        <v>222262636.13663015</v>
      </c>
      <c r="O14" s="7">
        <f>SUM(O6:O13)</f>
        <v>9939582392.9917469</v>
      </c>
      <c r="P14" s="34">
        <f t="shared" si="1"/>
        <v>0.19744110107421875</v>
      </c>
      <c r="Q14" s="40">
        <f t="shared" si="2"/>
        <v>0</v>
      </c>
      <c r="R14" s="35"/>
      <c r="S14" s="2"/>
      <c r="T14" s="2"/>
    </row>
    <row r="15" spans="1:20" x14ac:dyDescent="0.25">
      <c r="A15" s="5" t="s">
        <v>36</v>
      </c>
      <c r="B15" s="4">
        <v>975398331.34543312</v>
      </c>
      <c r="C15" s="4">
        <v>81283194</v>
      </c>
      <c r="D15" s="4">
        <f>+C15</f>
        <v>81283194</v>
      </c>
      <c r="E15" s="4">
        <f>+D15</f>
        <v>81283194</v>
      </c>
      <c r="F15" s="4">
        <f t="shared" ref="F15:M15" si="4">+E15</f>
        <v>81283194</v>
      </c>
      <c r="G15" s="4">
        <f t="shared" si="4"/>
        <v>81283194</v>
      </c>
      <c r="H15" s="4">
        <f t="shared" si="4"/>
        <v>81283194</v>
      </c>
      <c r="I15" s="4">
        <f t="shared" si="4"/>
        <v>81283194</v>
      </c>
      <c r="J15" s="4">
        <f t="shared" si="4"/>
        <v>81283194</v>
      </c>
      <c r="K15" s="4">
        <f t="shared" si="4"/>
        <v>81283194</v>
      </c>
      <c r="L15" s="4">
        <f t="shared" si="4"/>
        <v>81283194</v>
      </c>
      <c r="M15" s="4">
        <f t="shared" si="4"/>
        <v>81283194</v>
      </c>
      <c r="N15" s="4">
        <f>+M15+3.35</f>
        <v>81283197.349999994</v>
      </c>
      <c r="O15" s="4">
        <f t="shared" ref="O15:O46" si="5">SUM(C15:N15)</f>
        <v>975398331.35000002</v>
      </c>
      <c r="P15" s="34">
        <f t="shared" si="1"/>
        <v>4.5669078826904297E-3</v>
      </c>
      <c r="Q15" s="40">
        <f t="shared" si="2"/>
        <v>0</v>
      </c>
      <c r="R15" s="36"/>
      <c r="S15" s="2"/>
      <c r="T15" s="2"/>
    </row>
    <row r="16" spans="1:20" ht="45" x14ac:dyDescent="0.25">
      <c r="A16" s="21" t="s">
        <v>65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>
        <f t="shared" si="5"/>
        <v>0</v>
      </c>
      <c r="P16" s="34">
        <f t="shared" si="1"/>
        <v>0</v>
      </c>
      <c r="Q16" s="40">
        <f t="shared" si="2"/>
        <v>0</v>
      </c>
      <c r="R16" s="36"/>
      <c r="S16" s="2"/>
      <c r="T16" s="2"/>
    </row>
    <row r="17" spans="1:26" x14ac:dyDescent="0.25">
      <c r="A17" s="58" t="s">
        <v>9</v>
      </c>
      <c r="B17" s="10">
        <f>SUM(B18:B25)</f>
        <v>247000000</v>
      </c>
      <c r="C17" s="10">
        <f t="shared" ref="C17:N17" si="6">SUM(C18:C25)</f>
        <v>8000000</v>
      </c>
      <c r="D17" s="10">
        <f t="shared" si="6"/>
        <v>20000000</v>
      </c>
      <c r="E17" s="10">
        <f t="shared" si="6"/>
        <v>12000000</v>
      </c>
      <c r="F17" s="10">
        <f t="shared" si="6"/>
        <v>16000000</v>
      </c>
      <c r="G17" s="10">
        <f t="shared" si="6"/>
        <v>28000000</v>
      </c>
      <c r="H17" s="10">
        <f t="shared" si="6"/>
        <v>16000000</v>
      </c>
      <c r="I17" s="10">
        <f t="shared" si="6"/>
        <v>19000000</v>
      </c>
      <c r="J17" s="10">
        <f t="shared" si="6"/>
        <v>18000000</v>
      </c>
      <c r="K17" s="10">
        <f t="shared" si="6"/>
        <v>18000000</v>
      </c>
      <c r="L17" s="10">
        <f t="shared" si="6"/>
        <v>21000000</v>
      </c>
      <c r="M17" s="10">
        <f t="shared" si="6"/>
        <v>53000000</v>
      </c>
      <c r="N17" s="10">
        <f t="shared" si="6"/>
        <v>18000000</v>
      </c>
      <c r="O17" s="4">
        <f t="shared" si="5"/>
        <v>247000000</v>
      </c>
      <c r="P17" s="34">
        <f t="shared" si="1"/>
        <v>0</v>
      </c>
      <c r="Q17" s="40">
        <f t="shared" si="2"/>
        <v>0</v>
      </c>
      <c r="R17" s="36"/>
      <c r="S17" s="2"/>
      <c r="T17" s="37"/>
      <c r="U17" s="20"/>
      <c r="V17" s="20"/>
      <c r="W17" s="20"/>
      <c r="X17" s="20"/>
      <c r="Y17" s="20"/>
      <c r="Z17" s="20"/>
    </row>
    <row r="18" spans="1:26" x14ac:dyDescent="0.25">
      <c r="A18" s="5" t="str">
        <f>+'[7]Planeación 2024 P&amp;K Hoja de W'!$C$15</f>
        <v>Construcción de pequeños tramos de acueducto - Vecinales</v>
      </c>
      <c r="B18" s="4">
        <v>5000000</v>
      </c>
      <c r="C18" s="4"/>
      <c r="D18" s="4"/>
      <c r="E18" s="4"/>
      <c r="F18" s="4"/>
      <c r="G18" s="4">
        <f>+B18</f>
        <v>5000000</v>
      </c>
      <c r="H18" s="4"/>
      <c r="I18" s="4"/>
      <c r="J18" s="4"/>
      <c r="K18" s="4"/>
      <c r="L18" s="4"/>
      <c r="M18" s="4"/>
      <c r="N18" s="4"/>
      <c r="O18" s="4">
        <f t="shared" si="5"/>
        <v>5000000</v>
      </c>
      <c r="P18" s="34">
        <f t="shared" si="1"/>
        <v>0</v>
      </c>
      <c r="Q18" s="40">
        <f t="shared" si="2"/>
        <v>0</v>
      </c>
      <c r="R18" s="36"/>
      <c r="S18" s="2"/>
      <c r="T18" s="37"/>
      <c r="U18" s="20"/>
      <c r="V18" s="20"/>
      <c r="W18" s="20"/>
      <c r="X18" s="20"/>
      <c r="Y18" s="20"/>
      <c r="Z18" s="20"/>
    </row>
    <row r="19" spans="1:26" x14ac:dyDescent="0.25">
      <c r="A19" s="5" t="s">
        <v>132</v>
      </c>
      <c r="B19" s="4">
        <v>8000000</v>
      </c>
      <c r="C19" s="4"/>
      <c r="D19" s="4"/>
      <c r="E19" s="4"/>
      <c r="F19" s="4"/>
      <c r="G19" s="4"/>
      <c r="H19" s="4"/>
      <c r="I19" s="4">
        <v>3000000</v>
      </c>
      <c r="J19" s="4">
        <v>2000000</v>
      </c>
      <c r="K19" s="4"/>
      <c r="L19" s="4">
        <v>3000000</v>
      </c>
      <c r="M19" s="4"/>
      <c r="N19" s="4"/>
      <c r="O19" s="4">
        <f t="shared" si="5"/>
        <v>8000000</v>
      </c>
      <c r="P19" s="34">
        <f t="shared" si="1"/>
        <v>0</v>
      </c>
      <c r="Q19" s="40">
        <f t="shared" si="2"/>
        <v>0</v>
      </c>
      <c r="R19" s="36"/>
      <c r="S19" s="2"/>
      <c r="T19" s="37"/>
      <c r="U19" s="20"/>
      <c r="V19" s="20"/>
      <c r="W19" s="20"/>
      <c r="X19" s="20"/>
      <c r="Y19" s="20"/>
      <c r="Z19" s="20"/>
    </row>
    <row r="20" spans="1:26" x14ac:dyDescent="0.25">
      <c r="A20" s="5" t="s">
        <v>133</v>
      </c>
      <c r="B20" s="4">
        <v>5000000</v>
      </c>
      <c r="C20" s="4"/>
      <c r="D20" s="4"/>
      <c r="E20" s="4"/>
      <c r="F20" s="4"/>
      <c r="G20" s="4"/>
      <c r="H20" s="4"/>
      <c r="I20" s="4"/>
      <c r="J20" s="4"/>
      <c r="K20" s="4"/>
      <c r="L20" s="4"/>
      <c r="M20" s="4">
        <v>5000000</v>
      </c>
      <c r="N20" s="4"/>
      <c r="O20" s="4">
        <f t="shared" si="5"/>
        <v>5000000</v>
      </c>
      <c r="P20" s="34">
        <f t="shared" si="1"/>
        <v>0</v>
      </c>
      <c r="Q20" s="40">
        <f t="shared" si="2"/>
        <v>0</v>
      </c>
      <c r="R20" s="36"/>
      <c r="S20" s="2"/>
      <c r="T20" s="37"/>
      <c r="U20" s="20"/>
      <c r="V20" s="20"/>
      <c r="W20" s="20"/>
      <c r="X20" s="20"/>
      <c r="Y20" s="20"/>
      <c r="Z20" s="20"/>
    </row>
    <row r="21" spans="1:26" x14ac:dyDescent="0.25">
      <c r="A21" s="5" t="s">
        <v>134</v>
      </c>
      <c r="B21" s="4">
        <v>30000000</v>
      </c>
      <c r="C21" s="4"/>
      <c r="D21" s="4"/>
      <c r="E21" s="4"/>
      <c r="F21" s="4"/>
      <c r="G21" s="4"/>
      <c r="H21" s="4"/>
      <c r="I21" s="4"/>
      <c r="J21" s="4"/>
      <c r="K21" s="4"/>
      <c r="L21" s="4"/>
      <c r="M21" s="4">
        <v>30000000</v>
      </c>
      <c r="N21" s="4"/>
      <c r="O21" s="4">
        <f t="shared" si="5"/>
        <v>30000000</v>
      </c>
      <c r="P21" s="34">
        <f t="shared" si="1"/>
        <v>0</v>
      </c>
      <c r="Q21" s="40">
        <f t="shared" si="2"/>
        <v>0</v>
      </c>
      <c r="R21" s="36"/>
      <c r="S21" s="2"/>
      <c r="T21" s="37"/>
      <c r="U21" s="20"/>
      <c r="V21" s="20"/>
      <c r="W21" s="20"/>
      <c r="X21" s="20"/>
      <c r="Y21" s="20"/>
      <c r="Z21" s="20"/>
    </row>
    <row r="22" spans="1:26" x14ac:dyDescent="0.25">
      <c r="A22" s="5" t="s">
        <v>135</v>
      </c>
      <c r="B22" s="87">
        <f>1600000+5400000</f>
        <v>7000000</v>
      </c>
      <c r="C22" s="4"/>
      <c r="D22" s="4"/>
      <c r="E22" s="4"/>
      <c r="F22" s="4"/>
      <c r="G22" s="52">
        <f>1600000+5400000</f>
        <v>7000000</v>
      </c>
      <c r="H22" s="4"/>
      <c r="I22" s="4"/>
      <c r="J22" s="4"/>
      <c r="K22" s="4"/>
      <c r="L22" s="4"/>
      <c r="M22" s="4"/>
      <c r="N22" s="4"/>
      <c r="O22" s="4">
        <f t="shared" si="5"/>
        <v>7000000</v>
      </c>
      <c r="P22" s="34">
        <f t="shared" si="1"/>
        <v>0</v>
      </c>
      <c r="Q22" s="40">
        <f t="shared" si="2"/>
        <v>0</v>
      </c>
      <c r="R22" s="36"/>
      <c r="S22" s="2"/>
      <c r="T22" s="37"/>
      <c r="U22" s="20"/>
      <c r="V22" s="20"/>
      <c r="W22" s="20"/>
      <c r="X22" s="20"/>
      <c r="Y22" s="20"/>
      <c r="Z22" s="20"/>
    </row>
    <row r="23" spans="1:26" x14ac:dyDescent="0.25">
      <c r="A23" s="5" t="s">
        <v>136</v>
      </c>
      <c r="B23" s="4">
        <v>120000000</v>
      </c>
      <c r="C23" s="4"/>
      <c r="D23" s="4"/>
      <c r="E23" s="4">
        <f>+B23/10</f>
        <v>12000000</v>
      </c>
      <c r="F23" s="4">
        <f>+E23</f>
        <v>12000000</v>
      </c>
      <c r="G23" s="4">
        <f t="shared" ref="G23:N23" si="7">+F23</f>
        <v>12000000</v>
      </c>
      <c r="H23" s="4">
        <f t="shared" si="7"/>
        <v>12000000</v>
      </c>
      <c r="I23" s="4">
        <f t="shared" si="7"/>
        <v>12000000</v>
      </c>
      <c r="J23" s="4">
        <f t="shared" si="7"/>
        <v>12000000</v>
      </c>
      <c r="K23" s="4">
        <f t="shared" si="7"/>
        <v>12000000</v>
      </c>
      <c r="L23" s="4">
        <f t="shared" si="7"/>
        <v>12000000</v>
      </c>
      <c r="M23" s="4">
        <f t="shared" si="7"/>
        <v>12000000</v>
      </c>
      <c r="N23" s="4">
        <f t="shared" si="7"/>
        <v>12000000</v>
      </c>
      <c r="O23" s="4">
        <f t="shared" si="5"/>
        <v>120000000</v>
      </c>
      <c r="P23" s="34">
        <f t="shared" si="1"/>
        <v>0</v>
      </c>
      <c r="Q23" s="40">
        <f t="shared" si="2"/>
        <v>0</v>
      </c>
      <c r="R23" s="36"/>
      <c r="S23" s="2"/>
      <c r="T23" s="37"/>
      <c r="U23" s="20"/>
      <c r="V23" s="20"/>
      <c r="W23" s="20"/>
      <c r="X23" s="20"/>
      <c r="Y23" s="20"/>
      <c r="Z23" s="20"/>
    </row>
    <row r="24" spans="1:26" x14ac:dyDescent="0.25">
      <c r="A24" s="5" t="s">
        <v>138</v>
      </c>
      <c r="B24" s="4">
        <v>12000000</v>
      </c>
      <c r="C24" s="4"/>
      <c r="D24" s="4">
        <v>12000000</v>
      </c>
      <c r="E24" s="4"/>
      <c r="F24" s="4"/>
      <c r="G24" s="4"/>
      <c r="H24" s="4"/>
      <c r="I24" s="4"/>
      <c r="J24" s="4"/>
      <c r="K24" s="4"/>
      <c r="L24" s="4"/>
      <c r="M24" s="4"/>
      <c r="N24" s="4"/>
      <c r="O24" s="4">
        <f t="shared" si="5"/>
        <v>12000000</v>
      </c>
      <c r="P24" s="34">
        <f t="shared" si="1"/>
        <v>0</v>
      </c>
      <c r="Q24" s="40">
        <f t="shared" si="2"/>
        <v>0</v>
      </c>
      <c r="R24" s="36"/>
      <c r="S24" s="2"/>
      <c r="T24" s="37"/>
      <c r="U24" s="20"/>
      <c r="V24" s="20"/>
      <c r="W24" s="20"/>
      <c r="X24" s="20"/>
      <c r="Y24" s="20"/>
      <c r="Z24" s="20"/>
    </row>
    <row r="25" spans="1:26" x14ac:dyDescent="0.25">
      <c r="A25" s="5" t="s">
        <v>143</v>
      </c>
      <c r="B25" s="87">
        <f>84000000-24000000</f>
        <v>60000000</v>
      </c>
      <c r="C25" s="4">
        <v>8000000</v>
      </c>
      <c r="D25" s="4">
        <f>+C25</f>
        <v>8000000</v>
      </c>
      <c r="E25" s="4">
        <f>14000000-14000000</f>
        <v>0</v>
      </c>
      <c r="F25" s="4">
        <f>6000000-2000000</f>
        <v>4000000</v>
      </c>
      <c r="G25" s="4">
        <f>+F25</f>
        <v>4000000</v>
      </c>
      <c r="H25" s="4">
        <f t="shared" ref="H25:N25" si="8">+G25</f>
        <v>4000000</v>
      </c>
      <c r="I25" s="4">
        <f t="shared" si="8"/>
        <v>4000000</v>
      </c>
      <c r="J25" s="4">
        <f t="shared" si="8"/>
        <v>4000000</v>
      </c>
      <c r="K25" s="4">
        <v>6000000</v>
      </c>
      <c r="L25" s="4">
        <f t="shared" si="8"/>
        <v>6000000</v>
      </c>
      <c r="M25" s="4">
        <f t="shared" si="8"/>
        <v>6000000</v>
      </c>
      <c r="N25" s="4">
        <f t="shared" si="8"/>
        <v>6000000</v>
      </c>
      <c r="O25" s="4">
        <f t="shared" si="5"/>
        <v>60000000</v>
      </c>
      <c r="P25" s="34">
        <f t="shared" si="1"/>
        <v>0</v>
      </c>
      <c r="Q25" s="40">
        <f t="shared" si="2"/>
        <v>0</v>
      </c>
      <c r="R25" s="36"/>
      <c r="S25" s="2"/>
      <c r="T25" s="37"/>
      <c r="U25" s="20"/>
      <c r="V25" s="20"/>
      <c r="W25" s="20"/>
      <c r="X25" s="20"/>
      <c r="Y25" s="20"/>
      <c r="Z25" s="20"/>
    </row>
    <row r="26" spans="1:26" hidden="1" x14ac:dyDescent="0.25">
      <c r="A26" s="5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>
        <f t="shared" si="5"/>
        <v>0</v>
      </c>
      <c r="P26" s="34">
        <f t="shared" si="1"/>
        <v>0</v>
      </c>
      <c r="Q26" s="40">
        <f t="shared" si="2"/>
        <v>0</v>
      </c>
      <c r="R26" s="36"/>
      <c r="S26" s="2"/>
      <c r="T26" s="37"/>
      <c r="U26" s="20"/>
      <c r="V26" s="20"/>
      <c r="W26" s="20"/>
      <c r="X26" s="20"/>
      <c r="Y26" s="20"/>
      <c r="Z26" s="20"/>
    </row>
    <row r="27" spans="1:26" x14ac:dyDescent="0.25">
      <c r="A27" s="58" t="s">
        <v>8</v>
      </c>
      <c r="B27" s="10">
        <f>SUM(B28:B31)</f>
        <v>1310640000</v>
      </c>
      <c r="C27" s="10">
        <f t="shared" ref="C27:N27" si="9">SUM(C28:C31)</f>
        <v>4220000</v>
      </c>
      <c r="D27" s="10">
        <f t="shared" si="9"/>
        <v>34220000</v>
      </c>
      <c r="E27" s="10">
        <f t="shared" si="9"/>
        <v>34220000</v>
      </c>
      <c r="F27" s="10">
        <f t="shared" si="9"/>
        <v>4220000</v>
      </c>
      <c r="G27" s="10">
        <f t="shared" si="9"/>
        <v>4220000</v>
      </c>
      <c r="H27" s="10">
        <f t="shared" si="9"/>
        <v>4220000</v>
      </c>
      <c r="I27" s="10">
        <f t="shared" si="9"/>
        <v>4220000</v>
      </c>
      <c r="J27" s="10">
        <f t="shared" si="9"/>
        <v>4220000</v>
      </c>
      <c r="K27" s="10">
        <f t="shared" si="9"/>
        <v>1204220000</v>
      </c>
      <c r="L27" s="10">
        <f t="shared" si="9"/>
        <v>4220000</v>
      </c>
      <c r="M27" s="10">
        <f t="shared" si="9"/>
        <v>4220000</v>
      </c>
      <c r="N27" s="10">
        <f t="shared" si="9"/>
        <v>4220000</v>
      </c>
      <c r="O27" s="4">
        <f t="shared" si="5"/>
        <v>1310640000</v>
      </c>
      <c r="P27" s="34">
        <f t="shared" si="1"/>
        <v>0</v>
      </c>
      <c r="Q27" s="40">
        <f t="shared" si="2"/>
        <v>0</v>
      </c>
      <c r="R27" s="2"/>
      <c r="T27" s="37"/>
      <c r="U27" s="20"/>
      <c r="V27" s="20"/>
      <c r="W27" s="20"/>
      <c r="X27" s="20"/>
      <c r="Y27" s="20"/>
      <c r="Z27" s="20"/>
    </row>
    <row r="28" spans="1:26" x14ac:dyDescent="0.25">
      <c r="A28" s="5" t="s">
        <v>139</v>
      </c>
      <c r="B28" s="4">
        <v>24000000</v>
      </c>
      <c r="C28" s="4">
        <f>+B28/12</f>
        <v>2000000</v>
      </c>
      <c r="D28" s="4">
        <f>+C28</f>
        <v>2000000</v>
      </c>
      <c r="E28" s="4">
        <f t="shared" ref="E28:N28" si="10">+D28</f>
        <v>2000000</v>
      </c>
      <c r="F28" s="4">
        <f t="shared" si="10"/>
        <v>2000000</v>
      </c>
      <c r="G28" s="4">
        <f t="shared" si="10"/>
        <v>2000000</v>
      </c>
      <c r="H28" s="4">
        <f t="shared" si="10"/>
        <v>2000000</v>
      </c>
      <c r="I28" s="4">
        <f t="shared" si="10"/>
        <v>2000000</v>
      </c>
      <c r="J28" s="4">
        <f t="shared" si="10"/>
        <v>2000000</v>
      </c>
      <c r="K28" s="4">
        <f t="shared" si="10"/>
        <v>2000000</v>
      </c>
      <c r="L28" s="4">
        <f t="shared" si="10"/>
        <v>2000000</v>
      </c>
      <c r="M28" s="4">
        <f t="shared" si="10"/>
        <v>2000000</v>
      </c>
      <c r="N28" s="4">
        <f t="shared" si="10"/>
        <v>2000000</v>
      </c>
      <c r="O28" s="4">
        <f t="shared" si="5"/>
        <v>24000000</v>
      </c>
      <c r="P28" s="34">
        <f t="shared" si="1"/>
        <v>0</v>
      </c>
      <c r="Q28" s="40">
        <f t="shared" si="2"/>
        <v>0</v>
      </c>
      <c r="R28" s="2"/>
      <c r="T28" s="37"/>
      <c r="U28" s="20"/>
      <c r="V28" s="20"/>
      <c r="W28" s="20"/>
      <c r="X28" s="20"/>
      <c r="Y28" s="20"/>
      <c r="Z28" s="20"/>
    </row>
    <row r="29" spans="1:26" x14ac:dyDescent="0.25">
      <c r="A29" s="5" t="s">
        <v>140</v>
      </c>
      <c r="B29" s="4">
        <v>26640000</v>
      </c>
      <c r="C29" s="4">
        <f>+B29/12</f>
        <v>2220000</v>
      </c>
      <c r="D29" s="4">
        <f>+C29</f>
        <v>2220000</v>
      </c>
      <c r="E29" s="4">
        <f t="shared" ref="E29:N29" si="11">+D29</f>
        <v>2220000</v>
      </c>
      <c r="F29" s="4">
        <f t="shared" si="11"/>
        <v>2220000</v>
      </c>
      <c r="G29" s="4">
        <f t="shared" si="11"/>
        <v>2220000</v>
      </c>
      <c r="H29" s="4">
        <f t="shared" si="11"/>
        <v>2220000</v>
      </c>
      <c r="I29" s="4">
        <f t="shared" si="11"/>
        <v>2220000</v>
      </c>
      <c r="J29" s="4">
        <f t="shared" si="11"/>
        <v>2220000</v>
      </c>
      <c r="K29" s="4">
        <f t="shared" si="11"/>
        <v>2220000</v>
      </c>
      <c r="L29" s="4">
        <f t="shared" si="11"/>
        <v>2220000</v>
      </c>
      <c r="M29" s="4">
        <f t="shared" si="11"/>
        <v>2220000</v>
      </c>
      <c r="N29" s="4">
        <f t="shared" si="11"/>
        <v>2220000</v>
      </c>
      <c r="O29" s="4">
        <f t="shared" si="5"/>
        <v>26640000</v>
      </c>
      <c r="P29" s="34">
        <f t="shared" si="1"/>
        <v>0</v>
      </c>
      <c r="Q29" s="40">
        <f t="shared" si="2"/>
        <v>0</v>
      </c>
      <c r="R29" s="2"/>
      <c r="T29" s="37"/>
      <c r="U29" s="20"/>
      <c r="V29" s="20"/>
      <c r="W29" s="20"/>
      <c r="X29" s="20"/>
      <c r="Y29" s="20"/>
      <c r="Z29" s="20"/>
    </row>
    <row r="30" spans="1:26" x14ac:dyDescent="0.25">
      <c r="A30" s="5" t="s">
        <v>144</v>
      </c>
      <c r="B30" s="4">
        <v>60000000</v>
      </c>
      <c r="C30" s="4"/>
      <c r="D30" s="4">
        <v>30000000</v>
      </c>
      <c r="E30" s="4">
        <v>30000000</v>
      </c>
      <c r="F30" s="4"/>
      <c r="G30" s="4"/>
      <c r="H30" s="4"/>
      <c r="I30" s="4"/>
      <c r="J30" s="4"/>
      <c r="K30" s="4"/>
      <c r="L30" s="4"/>
      <c r="M30" s="4"/>
      <c r="N30" s="4"/>
      <c r="O30" s="4">
        <f t="shared" si="5"/>
        <v>60000000</v>
      </c>
      <c r="P30" s="34">
        <f t="shared" si="1"/>
        <v>0</v>
      </c>
      <c r="Q30" s="40">
        <f t="shared" si="2"/>
        <v>0</v>
      </c>
      <c r="R30" s="2"/>
      <c r="T30" s="37"/>
      <c r="U30" s="20"/>
      <c r="V30" s="20"/>
      <c r="W30" s="20"/>
      <c r="X30" s="20"/>
      <c r="Y30" s="20"/>
      <c r="Z30" s="20"/>
    </row>
    <row r="31" spans="1:26" x14ac:dyDescent="0.25">
      <c r="A31" s="5" t="s">
        <v>131</v>
      </c>
      <c r="B31" s="4">
        <v>1200000000</v>
      </c>
      <c r="C31" s="4"/>
      <c r="D31" s="4"/>
      <c r="E31" s="4"/>
      <c r="F31" s="4"/>
      <c r="G31" s="4"/>
      <c r="H31" s="4"/>
      <c r="I31" s="4"/>
      <c r="J31" s="4"/>
      <c r="K31" s="4">
        <f>+B31</f>
        <v>1200000000</v>
      </c>
      <c r="L31" s="4"/>
      <c r="M31" s="4"/>
      <c r="N31" s="4"/>
      <c r="O31" s="4">
        <f t="shared" si="5"/>
        <v>1200000000</v>
      </c>
      <c r="P31" s="34">
        <f t="shared" si="1"/>
        <v>0</v>
      </c>
      <c r="Q31" s="40">
        <f t="shared" si="2"/>
        <v>0</v>
      </c>
      <c r="R31" s="2"/>
      <c r="T31" s="37"/>
      <c r="U31" s="20"/>
      <c r="V31" s="20"/>
      <c r="W31" s="20"/>
      <c r="X31" s="20"/>
      <c r="Y31" s="20"/>
      <c r="Z31" s="20"/>
    </row>
    <row r="32" spans="1:26" hidden="1" x14ac:dyDescent="0.25">
      <c r="A32" s="5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>
        <f t="shared" si="5"/>
        <v>0</v>
      </c>
      <c r="P32" s="34">
        <f t="shared" si="1"/>
        <v>0</v>
      </c>
      <c r="Q32" s="40">
        <f t="shared" si="2"/>
        <v>0</v>
      </c>
      <c r="R32" s="2"/>
      <c r="T32" s="37"/>
      <c r="U32" s="20"/>
      <c r="V32" s="20"/>
      <c r="W32" s="20"/>
      <c r="X32" s="20"/>
      <c r="Y32" s="20"/>
      <c r="Z32" s="20"/>
    </row>
    <row r="33" spans="1:26" hidden="1" x14ac:dyDescent="0.25">
      <c r="A33" s="5" t="s">
        <v>10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>
        <f t="shared" si="5"/>
        <v>0</v>
      </c>
      <c r="P33" s="34">
        <f t="shared" si="1"/>
        <v>0</v>
      </c>
      <c r="Q33" s="40">
        <f t="shared" si="2"/>
        <v>0</v>
      </c>
      <c r="R33" s="36"/>
      <c r="S33" s="2"/>
      <c r="T33" s="37"/>
      <c r="U33" s="20"/>
      <c r="V33" s="20"/>
      <c r="W33" s="20"/>
      <c r="X33" s="20"/>
      <c r="Y33" s="20"/>
      <c r="Z33" s="20"/>
    </row>
    <row r="34" spans="1:26" hidden="1" x14ac:dyDescent="0.25">
      <c r="A34" s="5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>
        <f t="shared" si="5"/>
        <v>0</v>
      </c>
      <c r="P34" s="34">
        <f t="shared" si="1"/>
        <v>0</v>
      </c>
      <c r="Q34" s="40">
        <f t="shared" si="2"/>
        <v>0</v>
      </c>
      <c r="R34" s="36"/>
      <c r="S34" s="2"/>
      <c r="T34" s="37"/>
      <c r="U34" s="20"/>
      <c r="V34" s="20"/>
      <c r="W34" s="20"/>
      <c r="X34" s="20"/>
      <c r="Y34" s="20"/>
      <c r="Z34" s="20"/>
    </row>
    <row r="35" spans="1:26" hidden="1" x14ac:dyDescent="0.25">
      <c r="A35" s="5" t="s">
        <v>11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>
        <f t="shared" si="5"/>
        <v>0</v>
      </c>
      <c r="P35" s="34">
        <f t="shared" si="1"/>
        <v>0</v>
      </c>
      <c r="Q35" s="40">
        <f t="shared" si="2"/>
        <v>0</v>
      </c>
      <c r="R35" s="36"/>
      <c r="S35" s="2"/>
      <c r="T35" s="37"/>
      <c r="U35" s="20"/>
      <c r="V35" s="20"/>
      <c r="W35" s="20"/>
      <c r="X35" s="20"/>
      <c r="Y35" s="20"/>
      <c r="Z35" s="20"/>
    </row>
    <row r="36" spans="1:26" x14ac:dyDescent="0.25">
      <c r="A36" s="58" t="s">
        <v>12</v>
      </c>
      <c r="B36" s="10">
        <f>SUM(B37:B41)</f>
        <v>646180000</v>
      </c>
      <c r="C36" s="10">
        <f>SUM(C37:C41)</f>
        <v>46765000</v>
      </c>
      <c r="D36" s="10">
        <f t="shared" ref="D36:N36" si="12">SUM(D37:D41)</f>
        <v>46765000</v>
      </c>
      <c r="E36" s="10">
        <f t="shared" si="12"/>
        <v>56765000</v>
      </c>
      <c r="F36" s="10">
        <f t="shared" si="12"/>
        <v>79765000</v>
      </c>
      <c r="G36" s="10">
        <f t="shared" si="12"/>
        <v>65765000</v>
      </c>
      <c r="H36" s="10">
        <f t="shared" si="12"/>
        <v>40765000</v>
      </c>
      <c r="I36" s="10">
        <f t="shared" si="12"/>
        <v>40765000</v>
      </c>
      <c r="J36" s="10">
        <f t="shared" si="12"/>
        <v>40765000</v>
      </c>
      <c r="K36" s="10">
        <f t="shared" si="12"/>
        <v>80765000</v>
      </c>
      <c r="L36" s="10">
        <f t="shared" si="12"/>
        <v>65765000</v>
      </c>
      <c r="M36" s="10">
        <f t="shared" si="12"/>
        <v>40765000</v>
      </c>
      <c r="N36" s="10">
        <f t="shared" si="12"/>
        <v>40765000</v>
      </c>
      <c r="O36" s="4">
        <f t="shared" si="5"/>
        <v>646180000</v>
      </c>
      <c r="P36" s="34">
        <f t="shared" si="1"/>
        <v>0</v>
      </c>
      <c r="Q36" s="40">
        <f t="shared" si="2"/>
        <v>0</v>
      </c>
      <c r="R36" s="36"/>
      <c r="S36" s="2"/>
      <c r="T36" s="37"/>
      <c r="U36" s="20"/>
      <c r="V36" s="20"/>
      <c r="W36" s="20"/>
      <c r="X36" s="20"/>
      <c r="Y36" s="20"/>
      <c r="Z36" s="20"/>
    </row>
    <row r="37" spans="1:26" x14ac:dyDescent="0.25">
      <c r="A37" s="5" t="s">
        <v>137</v>
      </c>
      <c r="B37" s="4">
        <v>25000000</v>
      </c>
      <c r="C37" s="4"/>
      <c r="D37" s="4"/>
      <c r="E37" s="4"/>
      <c r="F37" s="4"/>
      <c r="G37" s="4"/>
      <c r="H37" s="4"/>
      <c r="I37" s="4"/>
      <c r="J37" s="4"/>
      <c r="K37" s="4"/>
      <c r="L37" s="4">
        <v>25000000</v>
      </c>
      <c r="M37" s="4"/>
      <c r="N37" s="4"/>
      <c r="O37" s="4">
        <f t="shared" si="5"/>
        <v>25000000</v>
      </c>
      <c r="P37" s="34">
        <f t="shared" si="1"/>
        <v>0</v>
      </c>
      <c r="Q37" s="40">
        <f t="shared" si="2"/>
        <v>0</v>
      </c>
      <c r="R37" s="36"/>
      <c r="S37" s="2"/>
      <c r="T37" s="37"/>
      <c r="U37" s="20"/>
      <c r="V37" s="20"/>
      <c r="W37" s="20"/>
      <c r="X37" s="20"/>
      <c r="Y37" s="20"/>
      <c r="Z37" s="20"/>
    </row>
    <row r="38" spans="1:26" x14ac:dyDescent="0.25">
      <c r="A38" s="5" t="s">
        <v>141</v>
      </c>
      <c r="B38" s="87">
        <f>24000000+30000000</f>
        <v>54000000</v>
      </c>
      <c r="C38" s="4"/>
      <c r="D38" s="4"/>
      <c r="E38" s="4"/>
      <c r="F38" s="4">
        <v>14000000</v>
      </c>
      <c r="G38" s="4"/>
      <c r="H38" s="4"/>
      <c r="I38" s="4"/>
      <c r="J38" s="4"/>
      <c r="K38" s="52">
        <f>10000000+30000000</f>
        <v>40000000</v>
      </c>
      <c r="L38" s="4"/>
      <c r="M38" s="4"/>
      <c r="N38" s="4"/>
      <c r="O38" s="4">
        <f t="shared" si="5"/>
        <v>54000000</v>
      </c>
      <c r="P38" s="34">
        <f t="shared" si="1"/>
        <v>0</v>
      </c>
      <c r="Q38" s="40">
        <f t="shared" si="2"/>
        <v>0</v>
      </c>
      <c r="R38" s="36"/>
      <c r="S38" s="2"/>
      <c r="T38" s="37"/>
      <c r="U38" s="20"/>
      <c r="V38" s="20"/>
      <c r="W38" s="20"/>
      <c r="X38" s="20"/>
      <c r="Y38" s="20"/>
      <c r="Z38" s="20"/>
    </row>
    <row r="39" spans="1:26" x14ac:dyDescent="0.25">
      <c r="A39" s="5" t="s">
        <v>142</v>
      </c>
      <c r="B39" s="4">
        <v>366000000</v>
      </c>
      <c r="C39" s="4">
        <v>30000000</v>
      </c>
      <c r="D39" s="4">
        <f>+C39</f>
        <v>30000000</v>
      </c>
      <c r="E39" s="4">
        <v>40000000</v>
      </c>
      <c r="F39" s="4">
        <v>49000000</v>
      </c>
      <c r="G39" s="4">
        <f>+F39</f>
        <v>49000000</v>
      </c>
      <c r="H39" s="4">
        <v>24000000</v>
      </c>
      <c r="I39" s="4">
        <f>+H39</f>
        <v>24000000</v>
      </c>
      <c r="J39" s="4">
        <f t="shared" ref="J39:N39" si="13">+I39</f>
        <v>24000000</v>
      </c>
      <c r="K39" s="4">
        <f t="shared" si="13"/>
        <v>24000000</v>
      </c>
      <c r="L39" s="4">
        <f t="shared" si="13"/>
        <v>24000000</v>
      </c>
      <c r="M39" s="4">
        <f t="shared" si="13"/>
        <v>24000000</v>
      </c>
      <c r="N39" s="4">
        <f t="shared" si="13"/>
        <v>24000000</v>
      </c>
      <c r="O39" s="4">
        <f t="shared" si="5"/>
        <v>366000000</v>
      </c>
      <c r="P39" s="34">
        <f t="shared" si="1"/>
        <v>0</v>
      </c>
      <c r="Q39" s="40">
        <f t="shared" si="2"/>
        <v>0</v>
      </c>
      <c r="R39" s="36"/>
      <c r="S39" s="2"/>
      <c r="T39" s="37"/>
      <c r="U39" s="20"/>
      <c r="V39" s="20"/>
      <c r="W39" s="20"/>
      <c r="X39" s="20"/>
      <c r="Y39" s="20"/>
      <c r="Z39" s="20"/>
    </row>
    <row r="40" spans="1:26" x14ac:dyDescent="0.25">
      <c r="A40" s="5" t="s">
        <v>145</v>
      </c>
      <c r="B40" s="4">
        <v>30000000</v>
      </c>
      <c r="C40" s="4">
        <f>+B40/12</f>
        <v>2500000</v>
      </c>
      <c r="D40" s="4">
        <f>+C40</f>
        <v>2500000</v>
      </c>
      <c r="E40" s="4">
        <f t="shared" ref="E40:N40" si="14">+D40</f>
        <v>2500000</v>
      </c>
      <c r="F40" s="4">
        <f t="shared" si="14"/>
        <v>2500000</v>
      </c>
      <c r="G40" s="4">
        <f t="shared" si="14"/>
        <v>2500000</v>
      </c>
      <c r="H40" s="4">
        <f t="shared" si="14"/>
        <v>2500000</v>
      </c>
      <c r="I40" s="4">
        <f t="shared" si="14"/>
        <v>2500000</v>
      </c>
      <c r="J40" s="4">
        <f t="shared" si="14"/>
        <v>2500000</v>
      </c>
      <c r="K40" s="4">
        <f t="shared" si="14"/>
        <v>2500000</v>
      </c>
      <c r="L40" s="4">
        <f t="shared" si="14"/>
        <v>2500000</v>
      </c>
      <c r="M40" s="4">
        <f t="shared" si="14"/>
        <v>2500000</v>
      </c>
      <c r="N40" s="4">
        <f t="shared" si="14"/>
        <v>2500000</v>
      </c>
      <c r="O40" s="4">
        <f t="shared" si="5"/>
        <v>30000000</v>
      </c>
      <c r="P40" s="34">
        <f t="shared" si="1"/>
        <v>0</v>
      </c>
      <c r="Q40" s="40">
        <f t="shared" si="2"/>
        <v>0</v>
      </c>
      <c r="R40" s="36"/>
      <c r="S40" s="2"/>
      <c r="T40" s="37"/>
      <c r="U40" s="20"/>
      <c r="V40" s="20"/>
      <c r="W40" s="20"/>
      <c r="X40" s="20"/>
      <c r="Y40" s="20"/>
      <c r="Z40" s="20"/>
    </row>
    <row r="41" spans="1:26" x14ac:dyDescent="0.25">
      <c r="A41" s="5" t="s">
        <v>196</v>
      </c>
      <c r="B41" s="4">
        <v>171180000</v>
      </c>
      <c r="C41" s="4">
        <f>+B41/12</f>
        <v>14265000</v>
      </c>
      <c r="D41" s="4">
        <f>+C41</f>
        <v>14265000</v>
      </c>
      <c r="E41" s="4">
        <f t="shared" ref="E41:N41" si="15">+D41</f>
        <v>14265000</v>
      </c>
      <c r="F41" s="4">
        <f t="shared" si="15"/>
        <v>14265000</v>
      </c>
      <c r="G41" s="4">
        <f t="shared" si="15"/>
        <v>14265000</v>
      </c>
      <c r="H41" s="4">
        <f t="shared" si="15"/>
        <v>14265000</v>
      </c>
      <c r="I41" s="4">
        <f t="shared" si="15"/>
        <v>14265000</v>
      </c>
      <c r="J41" s="4">
        <f t="shared" si="15"/>
        <v>14265000</v>
      </c>
      <c r="K41" s="4">
        <f t="shared" si="15"/>
        <v>14265000</v>
      </c>
      <c r="L41" s="4">
        <f t="shared" si="15"/>
        <v>14265000</v>
      </c>
      <c r="M41" s="4">
        <f t="shared" si="15"/>
        <v>14265000</v>
      </c>
      <c r="N41" s="4">
        <f t="shared" si="15"/>
        <v>14265000</v>
      </c>
      <c r="O41" s="4">
        <f t="shared" si="5"/>
        <v>171180000</v>
      </c>
      <c r="P41" s="34">
        <f t="shared" si="1"/>
        <v>0</v>
      </c>
      <c r="Q41" s="40">
        <f t="shared" si="2"/>
        <v>0</v>
      </c>
      <c r="R41" s="36"/>
      <c r="S41" s="2"/>
      <c r="T41" s="37"/>
      <c r="U41" s="20"/>
      <c r="V41" s="20"/>
      <c r="W41" s="20"/>
      <c r="X41" s="20"/>
      <c r="Y41" s="20"/>
      <c r="Z41" s="20"/>
    </row>
    <row r="42" spans="1:26" x14ac:dyDescent="0.25">
      <c r="A42" s="5" t="s">
        <v>191</v>
      </c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>
        <f t="shared" si="5"/>
        <v>0</v>
      </c>
      <c r="P42" s="34">
        <f t="shared" si="1"/>
        <v>0</v>
      </c>
      <c r="Q42" s="40">
        <f t="shared" si="2"/>
        <v>0</v>
      </c>
      <c r="R42" s="36"/>
      <c r="S42" s="2"/>
      <c r="T42" s="37"/>
      <c r="U42" s="20"/>
      <c r="V42" s="20"/>
      <c r="W42" s="20"/>
      <c r="X42" s="20"/>
      <c r="Y42" s="20"/>
      <c r="Z42" s="20"/>
    </row>
    <row r="43" spans="1:26" x14ac:dyDescent="0.25">
      <c r="A43" s="5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34"/>
      <c r="Q43" s="40">
        <f t="shared" si="2"/>
        <v>0</v>
      </c>
      <c r="R43" s="36"/>
      <c r="S43" s="2"/>
      <c r="T43" s="37"/>
      <c r="U43" s="20"/>
      <c r="V43" s="20"/>
      <c r="W43" s="20"/>
      <c r="X43" s="20"/>
      <c r="Y43" s="20"/>
      <c r="Z43" s="20"/>
    </row>
    <row r="44" spans="1:26" x14ac:dyDescent="0.25">
      <c r="A44" s="12" t="s">
        <v>13</v>
      </c>
      <c r="B44" s="8">
        <f>+B36+B27+B17+B16+B15</f>
        <v>3179218331.3454332</v>
      </c>
      <c r="C44" s="8">
        <f t="shared" ref="C44:O44" si="16">+C36+C27+C17+C16+C15</f>
        <v>140268194</v>
      </c>
      <c r="D44" s="8">
        <f t="shared" si="16"/>
        <v>182268194</v>
      </c>
      <c r="E44" s="8">
        <f t="shared" si="16"/>
        <v>184268194</v>
      </c>
      <c r="F44" s="8">
        <f t="shared" si="16"/>
        <v>181268194</v>
      </c>
      <c r="G44" s="8">
        <f t="shared" si="16"/>
        <v>179268194</v>
      </c>
      <c r="H44" s="8">
        <f t="shared" si="16"/>
        <v>142268194</v>
      </c>
      <c r="I44" s="8">
        <f t="shared" si="16"/>
        <v>145268194</v>
      </c>
      <c r="J44" s="8">
        <f t="shared" si="16"/>
        <v>144268194</v>
      </c>
      <c r="K44" s="8">
        <f t="shared" si="16"/>
        <v>1384268194</v>
      </c>
      <c r="L44" s="8">
        <f t="shared" si="16"/>
        <v>172268194</v>
      </c>
      <c r="M44" s="8">
        <f t="shared" si="16"/>
        <v>179268194</v>
      </c>
      <c r="N44" s="8">
        <f t="shared" si="16"/>
        <v>144268197.34999999</v>
      </c>
      <c r="O44" s="8">
        <f t="shared" si="16"/>
        <v>3179218331.3499999</v>
      </c>
      <c r="P44" s="34">
        <f t="shared" si="1"/>
        <v>4.5666694641113281E-3</v>
      </c>
      <c r="Q44" s="40">
        <f t="shared" si="2"/>
        <v>0</v>
      </c>
      <c r="R44" s="35"/>
      <c r="S44" s="2"/>
      <c r="U44" s="20"/>
      <c r="V44" s="20"/>
      <c r="W44" s="20"/>
      <c r="X44" s="20"/>
    </row>
    <row r="45" spans="1:26" x14ac:dyDescent="0.25">
      <c r="A45" s="5" t="s">
        <v>35</v>
      </c>
      <c r="B45" s="4">
        <v>45053763.229277767</v>
      </c>
      <c r="C45" s="27">
        <f>+B45/12</f>
        <v>3754480.2691064808</v>
      </c>
      <c r="D45" s="4">
        <f>+C45</f>
        <v>3754480.2691064808</v>
      </c>
      <c r="E45" s="4">
        <f t="shared" ref="E45:N45" si="17">+D45</f>
        <v>3754480.2691064808</v>
      </c>
      <c r="F45" s="4">
        <f t="shared" si="17"/>
        <v>3754480.2691064808</v>
      </c>
      <c r="G45" s="4">
        <f t="shared" si="17"/>
        <v>3754480.2691064808</v>
      </c>
      <c r="H45" s="4">
        <f t="shared" si="17"/>
        <v>3754480.2691064808</v>
      </c>
      <c r="I45" s="4">
        <f t="shared" si="17"/>
        <v>3754480.2691064808</v>
      </c>
      <c r="J45" s="4">
        <f t="shared" si="17"/>
        <v>3754480.2691064808</v>
      </c>
      <c r="K45" s="4">
        <f t="shared" si="17"/>
        <v>3754480.2691064808</v>
      </c>
      <c r="L45" s="4">
        <f t="shared" si="17"/>
        <v>3754480.2691064808</v>
      </c>
      <c r="M45" s="4">
        <f t="shared" si="17"/>
        <v>3754480.2691064808</v>
      </c>
      <c r="N45" s="4">
        <f t="shared" si="17"/>
        <v>3754480.2691064808</v>
      </c>
      <c r="O45" s="4">
        <f>SUM(C45:N45)</f>
        <v>45053763.22927776</v>
      </c>
      <c r="P45" s="34">
        <f t="shared" si="1"/>
        <v>0</v>
      </c>
      <c r="Q45" s="40">
        <f t="shared" si="2"/>
        <v>0</v>
      </c>
      <c r="R45" s="38"/>
      <c r="S45" s="2"/>
      <c r="U45" s="20"/>
      <c r="V45" s="20"/>
      <c r="W45" s="20"/>
      <c r="X45" s="20"/>
    </row>
    <row r="46" spans="1:26" x14ac:dyDescent="0.25">
      <c r="A46" s="5" t="s">
        <v>14</v>
      </c>
      <c r="B46" s="4">
        <v>95000000</v>
      </c>
      <c r="C46" s="4">
        <v>0</v>
      </c>
      <c r="D46" s="4">
        <f>15000000+35000000</f>
        <v>50000000</v>
      </c>
      <c r="E46" s="4">
        <v>20000000</v>
      </c>
      <c r="F46" s="4">
        <v>20000000</v>
      </c>
      <c r="G46" s="4">
        <v>5000000</v>
      </c>
      <c r="H46" s="4">
        <v>0</v>
      </c>
      <c r="I46" s="4">
        <v>0</v>
      </c>
      <c r="J46" s="4">
        <v>0</v>
      </c>
      <c r="K46" s="4">
        <v>0</v>
      </c>
      <c r="L46" s="4">
        <v>0</v>
      </c>
      <c r="M46" s="4">
        <v>0</v>
      </c>
      <c r="N46" s="4">
        <v>0</v>
      </c>
      <c r="O46" s="4">
        <f t="shared" si="5"/>
        <v>95000000</v>
      </c>
      <c r="P46" s="34">
        <f t="shared" si="1"/>
        <v>0</v>
      </c>
      <c r="Q46" s="40">
        <f t="shared" si="2"/>
        <v>0</v>
      </c>
      <c r="R46" s="38"/>
      <c r="S46" s="2"/>
      <c r="U46" s="20"/>
      <c r="V46" s="20"/>
      <c r="W46" s="20"/>
      <c r="X46" s="20"/>
    </row>
    <row r="47" spans="1:26" x14ac:dyDescent="0.25">
      <c r="A47" s="12" t="s">
        <v>15</v>
      </c>
      <c r="B47" s="8">
        <f>SUM(B45:B46)</f>
        <v>140053763.22927776</v>
      </c>
      <c r="C47" s="8">
        <f>SUM(C45:C46)</f>
        <v>3754480.2691064808</v>
      </c>
      <c r="D47" s="8">
        <f t="shared" ref="D47" si="18">SUM(D45:D46)</f>
        <v>53754480.269106477</v>
      </c>
      <c r="E47" s="8">
        <f t="shared" ref="E47:O47" si="19">SUM(E45:E46)</f>
        <v>23754480.269106481</v>
      </c>
      <c r="F47" s="8">
        <f t="shared" si="19"/>
        <v>23754480.269106481</v>
      </c>
      <c r="G47" s="8">
        <f t="shared" si="19"/>
        <v>8754480.2691064812</v>
      </c>
      <c r="H47" s="8">
        <f t="shared" si="19"/>
        <v>3754480.2691064808</v>
      </c>
      <c r="I47" s="8">
        <f t="shared" si="19"/>
        <v>3754480.2691064808</v>
      </c>
      <c r="J47" s="8">
        <f t="shared" si="19"/>
        <v>3754480.2691064808</v>
      </c>
      <c r="K47" s="8">
        <f t="shared" si="19"/>
        <v>3754480.2691064808</v>
      </c>
      <c r="L47" s="8">
        <f t="shared" si="19"/>
        <v>3754480.2691064808</v>
      </c>
      <c r="M47" s="8">
        <f t="shared" si="19"/>
        <v>3754480.2691064808</v>
      </c>
      <c r="N47" s="8">
        <f t="shared" si="19"/>
        <v>3754480.2691064808</v>
      </c>
      <c r="O47" s="8">
        <f t="shared" si="19"/>
        <v>140053763.22927776</v>
      </c>
      <c r="P47" s="34">
        <f t="shared" si="1"/>
        <v>0</v>
      </c>
      <c r="Q47" s="40">
        <f t="shared" si="2"/>
        <v>0</v>
      </c>
      <c r="R47" s="36"/>
      <c r="S47" s="2"/>
      <c r="U47" s="20"/>
      <c r="V47" s="20"/>
      <c r="W47" s="20"/>
      <c r="X47" s="20"/>
    </row>
    <row r="48" spans="1:26" x14ac:dyDescent="0.25">
      <c r="A48" s="12" t="s">
        <v>1</v>
      </c>
      <c r="B48" s="8">
        <f>+B47+B44</f>
        <v>3319272094.5747108</v>
      </c>
      <c r="C48" s="8">
        <f>+C47+C44</f>
        <v>144022674.26910648</v>
      </c>
      <c r="D48" s="8">
        <f t="shared" ref="D48" si="20">+D47+D44</f>
        <v>236022674.26910648</v>
      </c>
      <c r="E48" s="8">
        <f t="shared" ref="E48:O48" si="21">+E47+E44</f>
        <v>208022674.26910648</v>
      </c>
      <c r="F48" s="8">
        <f t="shared" si="21"/>
        <v>205022674.26910648</v>
      </c>
      <c r="G48" s="8">
        <f t="shared" si="21"/>
        <v>188022674.26910648</v>
      </c>
      <c r="H48" s="8">
        <f t="shared" si="21"/>
        <v>146022674.26910648</v>
      </c>
      <c r="I48" s="8">
        <f t="shared" si="21"/>
        <v>149022674.26910648</v>
      </c>
      <c r="J48" s="8">
        <f t="shared" si="21"/>
        <v>148022674.26910648</v>
      </c>
      <c r="K48" s="8">
        <f t="shared" si="21"/>
        <v>1388022674.2691064</v>
      </c>
      <c r="L48" s="8">
        <f t="shared" si="21"/>
        <v>176022674.26910648</v>
      </c>
      <c r="M48" s="8">
        <f t="shared" si="21"/>
        <v>183022674.26910648</v>
      </c>
      <c r="N48" s="8">
        <f t="shared" si="21"/>
        <v>148022677.61910647</v>
      </c>
      <c r="O48" s="8">
        <f t="shared" si="21"/>
        <v>3319272094.5792775</v>
      </c>
      <c r="P48" s="34">
        <f t="shared" si="1"/>
        <v>4.5666694641113281E-3</v>
      </c>
      <c r="Q48" s="40">
        <f t="shared" si="2"/>
        <v>0</v>
      </c>
      <c r="R48" s="35"/>
      <c r="S48" s="2"/>
      <c r="T48" s="2"/>
      <c r="U48" s="20"/>
      <c r="V48" s="20"/>
      <c r="W48" s="20"/>
      <c r="X48" s="20"/>
    </row>
    <row r="49" spans="1:24" x14ac:dyDescent="0.25">
      <c r="A49" s="22" t="s">
        <v>58</v>
      </c>
      <c r="B49" s="4">
        <v>1348189693.8599594</v>
      </c>
      <c r="C49" s="4">
        <f>+B49/12</f>
        <v>112349141.15499662</v>
      </c>
      <c r="D49" s="4">
        <f>+C49</f>
        <v>112349141.15499662</v>
      </c>
      <c r="E49" s="4">
        <f t="shared" ref="E49:N49" si="22">+D49</f>
        <v>112349141.15499662</v>
      </c>
      <c r="F49" s="4">
        <f t="shared" si="22"/>
        <v>112349141.15499662</v>
      </c>
      <c r="G49" s="4">
        <f t="shared" si="22"/>
        <v>112349141.15499662</v>
      </c>
      <c r="H49" s="4">
        <f t="shared" si="22"/>
        <v>112349141.15499662</v>
      </c>
      <c r="I49" s="4">
        <f t="shared" si="22"/>
        <v>112349141.15499662</v>
      </c>
      <c r="J49" s="4">
        <f t="shared" si="22"/>
        <v>112349141.15499662</v>
      </c>
      <c r="K49" s="4">
        <f t="shared" si="22"/>
        <v>112349141.15499662</v>
      </c>
      <c r="L49" s="4">
        <f t="shared" si="22"/>
        <v>112349141.15499662</v>
      </c>
      <c r="M49" s="4">
        <f t="shared" si="22"/>
        <v>112349141.15499662</v>
      </c>
      <c r="N49" s="4">
        <f t="shared" si="22"/>
        <v>112349141.15499662</v>
      </c>
      <c r="O49" s="4">
        <f t="shared" ref="O49:O141" si="23">SUM(C49:N49)</f>
        <v>1348189693.8599594</v>
      </c>
      <c r="P49" s="34">
        <f t="shared" si="1"/>
        <v>0</v>
      </c>
      <c r="Q49" s="40">
        <f t="shared" si="2"/>
        <v>0</v>
      </c>
      <c r="R49" s="38"/>
      <c r="S49" s="2"/>
      <c r="T49" s="37"/>
      <c r="U49" s="20"/>
      <c r="V49" s="20"/>
      <c r="W49" s="20"/>
      <c r="X49" s="20"/>
    </row>
    <row r="50" spans="1:24" ht="45" x14ac:dyDescent="0.25">
      <c r="A50" s="21" t="s">
        <v>65</v>
      </c>
      <c r="B50" s="4">
        <v>0</v>
      </c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>
        <f t="shared" si="23"/>
        <v>0</v>
      </c>
      <c r="P50" s="34">
        <f t="shared" si="1"/>
        <v>0</v>
      </c>
      <c r="Q50" s="40">
        <f t="shared" si="2"/>
        <v>0</v>
      </c>
      <c r="R50" s="38"/>
      <c r="S50" s="2"/>
      <c r="T50" s="37"/>
      <c r="U50" s="20"/>
      <c r="V50" s="20"/>
    </row>
    <row r="51" spans="1:24" x14ac:dyDescent="0.25">
      <c r="A51" s="58" t="s">
        <v>16</v>
      </c>
      <c r="B51" s="10">
        <f>+B52</f>
        <v>23027616</v>
      </c>
      <c r="C51" s="10">
        <f t="shared" ref="C51:O51" si="24">+C52</f>
        <v>26027616</v>
      </c>
      <c r="D51" s="10">
        <f t="shared" si="24"/>
        <v>0</v>
      </c>
      <c r="E51" s="10">
        <f t="shared" si="24"/>
        <v>0</v>
      </c>
      <c r="F51" s="10">
        <f t="shared" si="24"/>
        <v>0</v>
      </c>
      <c r="G51" s="10">
        <f t="shared" si="24"/>
        <v>0</v>
      </c>
      <c r="H51" s="10">
        <f t="shared" si="24"/>
        <v>0</v>
      </c>
      <c r="I51" s="10">
        <f t="shared" si="24"/>
        <v>0</v>
      </c>
      <c r="J51" s="10">
        <f t="shared" si="24"/>
        <v>0</v>
      </c>
      <c r="K51" s="10">
        <f t="shared" si="24"/>
        <v>0</v>
      </c>
      <c r="L51" s="10">
        <f t="shared" si="24"/>
        <v>0</v>
      </c>
      <c r="M51" s="10">
        <f t="shared" si="24"/>
        <v>0</v>
      </c>
      <c r="N51" s="10">
        <f t="shared" si="24"/>
        <v>-3000000</v>
      </c>
      <c r="O51" s="10">
        <f t="shared" si="24"/>
        <v>23027616</v>
      </c>
      <c r="P51" s="34">
        <f t="shared" si="1"/>
        <v>0</v>
      </c>
      <c r="Q51" s="40">
        <f t="shared" si="2"/>
        <v>0</v>
      </c>
      <c r="R51" s="38"/>
      <c r="S51" s="2"/>
      <c r="T51" s="2"/>
    </row>
    <row r="52" spans="1:24" ht="90" x14ac:dyDescent="0.25">
      <c r="A52" s="21" t="s">
        <v>160</v>
      </c>
      <c r="B52" s="87">
        <f>26027616-3000000</f>
        <v>23027616</v>
      </c>
      <c r="C52" s="4">
        <v>26027616</v>
      </c>
      <c r="D52" s="4">
        <v>0</v>
      </c>
      <c r="E52" s="4">
        <v>0</v>
      </c>
      <c r="F52" s="4">
        <v>0</v>
      </c>
      <c r="G52" s="4">
        <v>0</v>
      </c>
      <c r="H52" s="4">
        <v>0</v>
      </c>
      <c r="I52" s="4">
        <v>0</v>
      </c>
      <c r="J52" s="4">
        <v>0</v>
      </c>
      <c r="K52" s="4">
        <v>0</v>
      </c>
      <c r="L52" s="4">
        <v>0</v>
      </c>
      <c r="M52" s="4">
        <v>0</v>
      </c>
      <c r="N52" s="52">
        <v>-3000000</v>
      </c>
      <c r="O52" s="4">
        <f>SUM(C52:N52)</f>
        <v>23027616</v>
      </c>
      <c r="P52" s="34">
        <f t="shared" si="1"/>
        <v>0</v>
      </c>
      <c r="Q52" s="40">
        <f t="shared" si="2"/>
        <v>0</v>
      </c>
      <c r="R52" s="38"/>
      <c r="S52" s="2"/>
      <c r="T52" s="2"/>
    </row>
    <row r="53" spans="1:24" x14ac:dyDescent="0.25">
      <c r="A53" s="5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34">
        <f t="shared" si="1"/>
        <v>0</v>
      </c>
      <c r="Q53" s="40">
        <f t="shared" si="2"/>
        <v>0</v>
      </c>
      <c r="R53" s="38"/>
      <c r="S53" s="2"/>
      <c r="T53" s="2"/>
    </row>
    <row r="54" spans="1:24" x14ac:dyDescent="0.25">
      <c r="A54" s="58" t="s">
        <v>17</v>
      </c>
      <c r="B54" s="10">
        <f>SUM(B55:B56)</f>
        <v>576470000</v>
      </c>
      <c r="C54" s="10">
        <f t="shared" ref="C54:O54" si="25">SUM(C55:C56)</f>
        <v>61474815</v>
      </c>
      <c r="D54" s="10">
        <f t="shared" si="25"/>
        <v>59412573</v>
      </c>
      <c r="E54" s="10">
        <f t="shared" si="25"/>
        <v>0</v>
      </c>
      <c r="F54" s="10">
        <f t="shared" si="25"/>
        <v>0</v>
      </c>
      <c r="G54" s="10">
        <f t="shared" si="25"/>
        <v>37298000</v>
      </c>
      <c r="H54" s="10">
        <f t="shared" si="25"/>
        <v>59443694</v>
      </c>
      <c r="I54" s="10">
        <f t="shared" si="25"/>
        <v>59443694</v>
      </c>
      <c r="J54" s="10">
        <f t="shared" si="25"/>
        <v>59443694</v>
      </c>
      <c r="K54" s="10">
        <f t="shared" si="25"/>
        <v>59443694</v>
      </c>
      <c r="L54" s="10">
        <f t="shared" si="25"/>
        <v>59622448</v>
      </c>
      <c r="M54" s="10">
        <f t="shared" si="25"/>
        <v>60443694</v>
      </c>
      <c r="N54" s="10">
        <f t="shared" si="25"/>
        <v>60443694</v>
      </c>
      <c r="O54" s="10">
        <f t="shared" si="25"/>
        <v>576470000</v>
      </c>
      <c r="P54" s="34">
        <f t="shared" si="1"/>
        <v>0</v>
      </c>
      <c r="Q54" s="40">
        <f t="shared" si="2"/>
        <v>0</v>
      </c>
      <c r="R54" s="38"/>
      <c r="S54" s="2"/>
      <c r="T54" s="2"/>
    </row>
    <row r="55" spans="1:24" ht="60" x14ac:dyDescent="0.25">
      <c r="A55" s="57" t="s">
        <v>151</v>
      </c>
      <c r="B55" s="87">
        <f>552096000-100726000</f>
        <v>451370000</v>
      </c>
      <c r="C55" s="4">
        <v>46008000</v>
      </c>
      <c r="D55" s="4">
        <v>46008000</v>
      </c>
      <c r="E55" s="4">
        <v>0</v>
      </c>
      <c r="F55" s="4">
        <v>0</v>
      </c>
      <c r="G55" s="4">
        <f>46008000-8710000</f>
        <v>37298000</v>
      </c>
      <c r="H55" s="4">
        <v>46008000</v>
      </c>
      <c r="I55" s="4">
        <v>46008000</v>
      </c>
      <c r="J55" s="4">
        <v>46008000</v>
      </c>
      <c r="K55" s="4">
        <v>46008000</v>
      </c>
      <c r="L55" s="4">
        <v>46008000</v>
      </c>
      <c r="M55" s="4">
        <v>46008000</v>
      </c>
      <c r="N55" s="4">
        <v>46008000</v>
      </c>
      <c r="O55" s="4">
        <f t="shared" si="23"/>
        <v>451370000</v>
      </c>
      <c r="P55" s="34"/>
      <c r="Q55" s="40">
        <f t="shared" si="2"/>
        <v>0</v>
      </c>
      <c r="R55" s="38"/>
      <c r="S55" s="2"/>
      <c r="T55" s="2"/>
    </row>
    <row r="56" spans="1:24" ht="48" x14ac:dyDescent="0.25">
      <c r="A56" s="57" t="s">
        <v>156</v>
      </c>
      <c r="B56" s="52">
        <f>175290570-50190570</f>
        <v>125100000</v>
      </c>
      <c r="C56" s="64">
        <v>15466815</v>
      </c>
      <c r="D56" s="64">
        <v>13404573</v>
      </c>
      <c r="E56" s="64">
        <v>0</v>
      </c>
      <c r="F56" s="64">
        <v>0</v>
      </c>
      <c r="G56" s="64">
        <v>0</v>
      </c>
      <c r="H56" s="64">
        <f>14435694-1000000</f>
        <v>13435694</v>
      </c>
      <c r="I56" s="64">
        <f t="shared" ref="I56:K56" si="26">14435694-1000000</f>
        <v>13435694</v>
      </c>
      <c r="J56" s="64">
        <f t="shared" si="26"/>
        <v>13435694</v>
      </c>
      <c r="K56" s="64">
        <f t="shared" si="26"/>
        <v>13435694</v>
      </c>
      <c r="L56" s="64">
        <f>14435694-821246</f>
        <v>13614448</v>
      </c>
      <c r="M56" s="64">
        <v>14435694</v>
      </c>
      <c r="N56" s="64">
        <v>14435694</v>
      </c>
      <c r="O56" s="4">
        <f t="shared" si="23"/>
        <v>125100000</v>
      </c>
      <c r="P56" s="34">
        <f t="shared" si="1"/>
        <v>0</v>
      </c>
      <c r="Q56" s="40">
        <f t="shared" si="2"/>
        <v>0</v>
      </c>
      <c r="R56" s="38"/>
      <c r="S56" s="2"/>
      <c r="T56" s="2"/>
    </row>
    <row r="57" spans="1:24" hidden="1" x14ac:dyDescent="0.25">
      <c r="A57" s="5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34">
        <f t="shared" si="1"/>
        <v>0</v>
      </c>
      <c r="Q57" s="40">
        <f t="shared" si="2"/>
        <v>0</v>
      </c>
      <c r="R57" s="38"/>
      <c r="S57" s="2"/>
      <c r="T57" s="2"/>
    </row>
    <row r="58" spans="1:24" x14ac:dyDescent="0.25">
      <c r="A58" s="58" t="s">
        <v>7</v>
      </c>
      <c r="B58" s="10">
        <f>SUM(B59:B71)</f>
        <v>395764999.57200003</v>
      </c>
      <c r="C58" s="10">
        <f t="shared" ref="C58:O58" si="27">SUM(C59:C71)</f>
        <v>39598775.880999997</v>
      </c>
      <c r="D58" s="10">
        <f t="shared" si="27"/>
        <v>50098775.880999997</v>
      </c>
      <c r="E58" s="10">
        <f t="shared" si="27"/>
        <v>6000000</v>
      </c>
      <c r="F58" s="10">
        <f t="shared" si="27"/>
        <v>6533334</v>
      </c>
      <c r="G58" s="10">
        <f t="shared" si="27"/>
        <v>28112292</v>
      </c>
      <c r="H58" s="10">
        <f t="shared" si="27"/>
        <v>28392449.239999998</v>
      </c>
      <c r="I58" s="10">
        <f t="shared" si="27"/>
        <v>37839772.310000002</v>
      </c>
      <c r="J58" s="10">
        <f t="shared" si="27"/>
        <v>17539772.309999999</v>
      </c>
      <c r="K58" s="10">
        <f t="shared" si="27"/>
        <v>52339772.310000002</v>
      </c>
      <c r="L58" s="10">
        <f t="shared" si="27"/>
        <v>36839772.310000002</v>
      </c>
      <c r="M58" s="10">
        <f t="shared" si="27"/>
        <v>39834400.880999997</v>
      </c>
      <c r="N58" s="10">
        <f t="shared" si="27"/>
        <v>52635882.451000005</v>
      </c>
      <c r="O58" s="10">
        <f t="shared" si="27"/>
        <v>395764999.574</v>
      </c>
      <c r="P58" s="34">
        <f t="shared" si="1"/>
        <v>1.999974250793457E-3</v>
      </c>
      <c r="Q58" s="40">
        <f>SUM(C58:N58)-O58</f>
        <v>0</v>
      </c>
      <c r="R58" s="38"/>
      <c r="S58" s="2"/>
      <c r="T58" s="2"/>
    </row>
    <row r="59" spans="1:24" ht="48" x14ac:dyDescent="0.25">
      <c r="A59" s="61" t="s">
        <v>152</v>
      </c>
      <c r="B59" s="87">
        <f>140400000-70200000</f>
        <v>70200000</v>
      </c>
      <c r="C59" s="4">
        <v>11700000</v>
      </c>
      <c r="D59" s="4">
        <f>+C59</f>
        <v>11700000</v>
      </c>
      <c r="E59" s="4">
        <v>0</v>
      </c>
      <c r="F59" s="4">
        <v>0</v>
      </c>
      <c r="G59" s="4">
        <v>0</v>
      </c>
      <c r="H59" s="4">
        <v>0</v>
      </c>
      <c r="I59" s="4">
        <f t="shared" ref="I59:N59" si="28">+H59</f>
        <v>0</v>
      </c>
      <c r="J59" s="4">
        <v>0</v>
      </c>
      <c r="K59" s="4">
        <f>+D59</f>
        <v>11700000</v>
      </c>
      <c r="L59" s="4">
        <f t="shared" si="28"/>
        <v>11700000</v>
      </c>
      <c r="M59" s="4">
        <f t="shared" si="28"/>
        <v>11700000</v>
      </c>
      <c r="N59" s="4">
        <f t="shared" si="28"/>
        <v>11700000</v>
      </c>
      <c r="O59" s="4">
        <f t="shared" si="23"/>
        <v>70200000</v>
      </c>
      <c r="P59" s="34">
        <f t="shared" si="1"/>
        <v>0</v>
      </c>
      <c r="Q59" s="40">
        <f t="shared" si="2"/>
        <v>0</v>
      </c>
      <c r="R59" s="38"/>
      <c r="S59" s="2"/>
      <c r="T59" s="2"/>
    </row>
    <row r="60" spans="1:24" ht="60" x14ac:dyDescent="0.25">
      <c r="A60" s="57" t="s">
        <v>153</v>
      </c>
      <c r="B60" s="87">
        <f>14000000-5100000</f>
        <v>8900000</v>
      </c>
      <c r="C60" s="4">
        <v>3000000</v>
      </c>
      <c r="D60" s="4">
        <v>1000000</v>
      </c>
      <c r="E60" s="4">
        <v>0</v>
      </c>
      <c r="F60" s="4">
        <f t="shared" ref="F60:N60" si="29">+E60</f>
        <v>0</v>
      </c>
      <c r="G60" s="4">
        <f t="shared" si="29"/>
        <v>0</v>
      </c>
      <c r="H60" s="4">
        <v>0</v>
      </c>
      <c r="I60" s="4">
        <f t="shared" si="29"/>
        <v>0</v>
      </c>
      <c r="J60" s="4">
        <v>900000</v>
      </c>
      <c r="K60" s="4">
        <f>+D60</f>
        <v>1000000</v>
      </c>
      <c r="L60" s="4">
        <f t="shared" si="29"/>
        <v>1000000</v>
      </c>
      <c r="M60" s="4">
        <f t="shared" si="29"/>
        <v>1000000</v>
      </c>
      <c r="N60" s="4">
        <f t="shared" si="29"/>
        <v>1000000</v>
      </c>
      <c r="O60" s="4">
        <f t="shared" si="23"/>
        <v>8900000</v>
      </c>
      <c r="P60" s="34">
        <f t="shared" si="1"/>
        <v>0</v>
      </c>
      <c r="Q60" s="40">
        <f t="shared" si="2"/>
        <v>0</v>
      </c>
      <c r="R60" s="38"/>
      <c r="S60" s="2"/>
      <c r="T60" s="2"/>
    </row>
    <row r="61" spans="1:24" ht="48" x14ac:dyDescent="0.25">
      <c r="A61" s="61" t="s">
        <v>154</v>
      </c>
      <c r="B61" s="87">
        <f>88000000-38000000-4000000</f>
        <v>46000000</v>
      </c>
      <c r="C61" s="64">
        <v>12000000</v>
      </c>
      <c r="D61" s="64">
        <v>8000000</v>
      </c>
      <c r="E61" s="64">
        <v>0</v>
      </c>
      <c r="F61" s="64">
        <v>0</v>
      </c>
      <c r="G61" s="64">
        <v>0</v>
      </c>
      <c r="H61" s="64">
        <v>0</v>
      </c>
      <c r="I61" s="64">
        <v>0</v>
      </c>
      <c r="J61" s="64">
        <v>0</v>
      </c>
      <c r="K61" s="64">
        <v>5000000</v>
      </c>
      <c r="L61" s="64">
        <v>5000000</v>
      </c>
      <c r="M61" s="64">
        <v>5000000</v>
      </c>
      <c r="N61" s="64">
        <v>11000000</v>
      </c>
      <c r="O61" s="4">
        <f t="shared" si="23"/>
        <v>46000000</v>
      </c>
      <c r="P61" s="34">
        <f t="shared" si="1"/>
        <v>0</v>
      </c>
      <c r="Q61" s="40">
        <f t="shared" si="2"/>
        <v>0</v>
      </c>
      <c r="R61" s="38"/>
      <c r="S61" s="2"/>
      <c r="T61" s="2"/>
    </row>
    <row r="62" spans="1:24" ht="48" x14ac:dyDescent="0.25">
      <c r="A62" s="61" t="s">
        <v>155</v>
      </c>
      <c r="B62" s="4">
        <v>7000000</v>
      </c>
      <c r="C62" s="64">
        <v>1000000</v>
      </c>
      <c r="D62" s="64">
        <v>0</v>
      </c>
      <c r="E62" s="64">
        <v>0</v>
      </c>
      <c r="F62" s="64">
        <v>2000000</v>
      </c>
      <c r="G62" s="64">
        <v>0</v>
      </c>
      <c r="H62" s="64">
        <v>0</v>
      </c>
      <c r="I62" s="64">
        <v>0</v>
      </c>
      <c r="J62" s="64">
        <v>2000000</v>
      </c>
      <c r="K62" s="64">
        <v>0</v>
      </c>
      <c r="L62" s="64">
        <v>0</v>
      </c>
      <c r="M62" s="64">
        <v>2000000</v>
      </c>
      <c r="N62" s="64">
        <v>0</v>
      </c>
      <c r="O62" s="4">
        <f t="shared" si="23"/>
        <v>7000000</v>
      </c>
      <c r="P62" s="34">
        <f t="shared" si="1"/>
        <v>0</v>
      </c>
      <c r="Q62" s="40">
        <f t="shared" si="2"/>
        <v>0</v>
      </c>
      <c r="R62" s="38"/>
      <c r="S62" s="2"/>
      <c r="T62" s="2"/>
    </row>
    <row r="63" spans="1:24" ht="36" x14ac:dyDescent="0.25">
      <c r="A63" s="61" t="s">
        <v>157</v>
      </c>
      <c r="B63" s="87">
        <f>52600000-3000000</f>
        <v>49600000</v>
      </c>
      <c r="C63" s="4">
        <v>1666667</v>
      </c>
      <c r="D63" s="4">
        <v>1666667</v>
      </c>
      <c r="E63" s="4">
        <v>0</v>
      </c>
      <c r="F63" s="4">
        <f>1666667-133333</f>
        <v>1533334</v>
      </c>
      <c r="G63" s="4">
        <v>1666667</v>
      </c>
      <c r="H63" s="4">
        <f>14000000+1666667</f>
        <v>15666667</v>
      </c>
      <c r="I63" s="4">
        <f>1200000+1666667</f>
        <v>2866667</v>
      </c>
      <c r="J63" s="4">
        <v>1666667</v>
      </c>
      <c r="K63" s="4">
        <v>1666667</v>
      </c>
      <c r="L63" s="4">
        <v>1666667</v>
      </c>
      <c r="M63" s="4">
        <f>1200000+1666667</f>
        <v>2866667</v>
      </c>
      <c r="N63" s="4">
        <f>15000000+1666663</f>
        <v>16666663</v>
      </c>
      <c r="O63" s="4">
        <f t="shared" si="23"/>
        <v>49600000</v>
      </c>
      <c r="P63" s="34">
        <f t="shared" si="1"/>
        <v>0</v>
      </c>
      <c r="Q63" s="40">
        <f t="shared" si="2"/>
        <v>0</v>
      </c>
      <c r="R63" s="38"/>
      <c r="S63" s="2"/>
      <c r="T63" s="2"/>
    </row>
    <row r="64" spans="1:24" ht="60" x14ac:dyDescent="0.25">
      <c r="A64" s="57" t="s">
        <v>158</v>
      </c>
      <c r="B64" s="87">
        <f>44455542.852-28455543</f>
        <v>15999999.851999998</v>
      </c>
      <c r="C64" s="4">
        <v>3704628.571</v>
      </c>
      <c r="D64" s="4">
        <v>3704628.571</v>
      </c>
      <c r="E64" s="4">
        <v>0</v>
      </c>
      <c r="F64" s="4">
        <f t="shared" ref="F64:H64" si="30">+E64</f>
        <v>0</v>
      </c>
      <c r="G64" s="4">
        <f t="shared" si="30"/>
        <v>0</v>
      </c>
      <c r="H64" s="4">
        <f t="shared" si="30"/>
        <v>0</v>
      </c>
      <c r="I64" s="4">
        <v>0</v>
      </c>
      <c r="J64" s="4">
        <v>0</v>
      </c>
      <c r="K64" s="4">
        <v>0</v>
      </c>
      <c r="L64" s="4">
        <v>0</v>
      </c>
      <c r="M64" s="4">
        <f>+D64+590000</f>
        <v>4294628.5710000005</v>
      </c>
      <c r="N64" s="4">
        <f>+M64+1485.57</f>
        <v>4296114.1410000008</v>
      </c>
      <c r="O64" s="4">
        <f t="shared" si="23"/>
        <v>15999999.854</v>
      </c>
      <c r="P64" s="34">
        <f t="shared" si="1"/>
        <v>2.0000021904706955E-3</v>
      </c>
      <c r="Q64" s="40">
        <f t="shared" si="2"/>
        <v>0</v>
      </c>
      <c r="R64" s="38"/>
      <c r="S64" s="2"/>
      <c r="T64" s="2"/>
    </row>
    <row r="65" spans="1:20" ht="60" x14ac:dyDescent="0.25">
      <c r="A65" s="57" t="s">
        <v>159</v>
      </c>
      <c r="B65" s="4">
        <v>60000000</v>
      </c>
      <c r="C65" s="64">
        <v>0</v>
      </c>
      <c r="D65" s="64">
        <v>0</v>
      </c>
      <c r="E65" s="64">
        <v>0</v>
      </c>
      <c r="F65" s="64">
        <v>0</v>
      </c>
      <c r="G65" s="4">
        <v>20000000</v>
      </c>
      <c r="H65" s="64">
        <v>0</v>
      </c>
      <c r="I65" s="4">
        <v>20000000</v>
      </c>
      <c r="J65" s="64">
        <v>0</v>
      </c>
      <c r="K65" s="4">
        <v>20000000</v>
      </c>
      <c r="L65" s="64">
        <v>0</v>
      </c>
      <c r="M65" s="64">
        <v>0</v>
      </c>
      <c r="N65" s="64">
        <v>0</v>
      </c>
      <c r="O65" s="4">
        <f t="shared" si="23"/>
        <v>60000000</v>
      </c>
      <c r="P65" s="34">
        <f t="shared" si="1"/>
        <v>0</v>
      </c>
      <c r="Q65" s="40">
        <f t="shared" si="2"/>
        <v>0</v>
      </c>
      <c r="R65" s="38"/>
      <c r="S65" s="2"/>
      <c r="T65" s="2"/>
    </row>
    <row r="66" spans="1:20" ht="24" x14ac:dyDescent="0.25">
      <c r="A66" s="61" t="s">
        <v>161</v>
      </c>
      <c r="B66" s="4">
        <v>6000000</v>
      </c>
      <c r="C66" s="64">
        <v>0</v>
      </c>
      <c r="D66" s="64">
        <v>0</v>
      </c>
      <c r="E66" s="4">
        <v>6000000</v>
      </c>
      <c r="F66" s="64">
        <v>0</v>
      </c>
      <c r="G66" s="64">
        <v>0</v>
      </c>
      <c r="H66" s="64">
        <v>0</v>
      </c>
      <c r="I66" s="64">
        <v>0</v>
      </c>
      <c r="J66" s="64">
        <v>0</v>
      </c>
      <c r="K66" s="64">
        <v>0</v>
      </c>
      <c r="L66" s="64">
        <v>0</v>
      </c>
      <c r="M66" s="64">
        <v>0</v>
      </c>
      <c r="N66" s="64">
        <v>0</v>
      </c>
      <c r="O66" s="4">
        <f t="shared" si="23"/>
        <v>6000000</v>
      </c>
      <c r="P66" s="34">
        <f t="shared" si="1"/>
        <v>0</v>
      </c>
      <c r="Q66" s="40">
        <f t="shared" si="2"/>
        <v>0</v>
      </c>
      <c r="R66" s="38"/>
      <c r="S66" s="2"/>
      <c r="T66" s="2"/>
    </row>
    <row r="67" spans="1:20" ht="60" x14ac:dyDescent="0.25">
      <c r="A67" s="57" t="s">
        <v>162</v>
      </c>
      <c r="B67" s="87">
        <f>78329763.72-19829764</f>
        <v>58499999.719999999</v>
      </c>
      <c r="C67" s="4">
        <v>6527480.3099999996</v>
      </c>
      <c r="D67" s="4">
        <v>6527480.3099999996</v>
      </c>
      <c r="E67" s="4">
        <v>0</v>
      </c>
      <c r="F67" s="4">
        <f t="shared" ref="F67:N67" si="31">+E67</f>
        <v>0</v>
      </c>
      <c r="G67" s="4">
        <f t="shared" si="31"/>
        <v>0</v>
      </c>
      <c r="H67" s="4">
        <f>+D67-247323.07</f>
        <v>6280157.2399999993</v>
      </c>
      <c r="I67" s="4">
        <f>+D67</f>
        <v>6527480.3099999996</v>
      </c>
      <c r="J67" s="4">
        <f t="shared" si="31"/>
        <v>6527480.3099999996</v>
      </c>
      <c r="K67" s="4">
        <f t="shared" si="31"/>
        <v>6527480.3099999996</v>
      </c>
      <c r="L67" s="4">
        <f t="shared" si="31"/>
        <v>6527480.3099999996</v>
      </c>
      <c r="M67" s="4">
        <f t="shared" si="31"/>
        <v>6527480.3099999996</v>
      </c>
      <c r="N67" s="4">
        <f t="shared" si="31"/>
        <v>6527480.3099999996</v>
      </c>
      <c r="O67" s="4">
        <f t="shared" si="23"/>
        <v>58499999.720000006</v>
      </c>
      <c r="P67" s="34">
        <f t="shared" si="1"/>
        <v>0</v>
      </c>
      <c r="Q67" s="40">
        <f t="shared" si="2"/>
        <v>0</v>
      </c>
      <c r="R67" s="38"/>
      <c r="S67" s="2"/>
      <c r="T67" s="2"/>
    </row>
    <row r="68" spans="1:20" ht="36" x14ac:dyDescent="0.25">
      <c r="A68" s="57" t="s">
        <v>163</v>
      </c>
      <c r="B68" s="4">
        <v>7000000</v>
      </c>
      <c r="C68" s="4"/>
      <c r="D68" s="4"/>
      <c r="E68" s="4"/>
      <c r="F68" s="4">
        <v>3000000</v>
      </c>
      <c r="G68" s="4"/>
      <c r="H68" s="4"/>
      <c r="I68" s="4">
        <v>2000000</v>
      </c>
      <c r="J68" s="4"/>
      <c r="K68" s="4"/>
      <c r="L68" s="4">
        <v>2000000</v>
      </c>
      <c r="M68" s="4"/>
      <c r="N68" s="4"/>
      <c r="O68" s="4">
        <f t="shared" si="23"/>
        <v>7000000</v>
      </c>
      <c r="P68" s="34">
        <f t="shared" si="1"/>
        <v>0</v>
      </c>
      <c r="Q68" s="40">
        <f t="shared" si="2"/>
        <v>0</v>
      </c>
      <c r="R68" s="38"/>
      <c r="S68" s="2"/>
      <c r="T68" s="2"/>
    </row>
    <row r="69" spans="1:20" hidden="1" x14ac:dyDescent="0.25">
      <c r="P69" s="34">
        <f>+O76-B76</f>
        <v>0</v>
      </c>
      <c r="Q69" s="40">
        <f t="shared" si="2"/>
        <v>0</v>
      </c>
      <c r="R69" s="38"/>
      <c r="S69" s="2"/>
      <c r="T69" s="2"/>
    </row>
    <row r="70" spans="1:20" ht="60" x14ac:dyDescent="0.25">
      <c r="A70" s="57" t="s">
        <v>165</v>
      </c>
      <c r="B70" s="87">
        <f>5000000+51565000</f>
        <v>56565000</v>
      </c>
      <c r="C70" s="4"/>
      <c r="D70" s="65">
        <v>2500000</v>
      </c>
      <c r="E70" s="65">
        <v>0</v>
      </c>
      <c r="F70" s="65">
        <v>0</v>
      </c>
      <c r="G70" s="65">
        <f>51565000/8</f>
        <v>6445625</v>
      </c>
      <c r="H70" s="65">
        <f t="shared" ref="H70:K70" si="32">51565000/8</f>
        <v>6445625</v>
      </c>
      <c r="I70" s="65">
        <f t="shared" si="32"/>
        <v>6445625</v>
      </c>
      <c r="J70" s="65">
        <f t="shared" si="32"/>
        <v>6445625</v>
      </c>
      <c r="K70" s="65">
        <f t="shared" si="32"/>
        <v>6445625</v>
      </c>
      <c r="L70" s="65">
        <f>2500000+6445625</f>
        <v>8945625</v>
      </c>
      <c r="M70" s="4">
        <f>+J70</f>
        <v>6445625</v>
      </c>
      <c r="N70" s="4">
        <f>+K70</f>
        <v>6445625</v>
      </c>
      <c r="O70" s="4">
        <f t="shared" si="23"/>
        <v>56565000</v>
      </c>
      <c r="P70" s="34">
        <f t="shared" si="1"/>
        <v>0</v>
      </c>
      <c r="Q70" s="40">
        <f t="shared" si="2"/>
        <v>0</v>
      </c>
      <c r="R70" s="38"/>
      <c r="S70" s="2"/>
      <c r="T70" s="2"/>
    </row>
    <row r="71" spans="1:20" ht="24.75" x14ac:dyDescent="0.25">
      <c r="A71" s="62" t="s">
        <v>166</v>
      </c>
      <c r="B71" s="87">
        <f>15000000-5000000</f>
        <v>10000000</v>
      </c>
      <c r="C71" s="4"/>
      <c r="D71" s="4">
        <v>15000000</v>
      </c>
      <c r="E71" s="4"/>
      <c r="F71" s="4"/>
      <c r="G71" s="4"/>
      <c r="H71" s="4"/>
      <c r="I71" s="4"/>
      <c r="J71" s="4"/>
      <c r="K71" s="4"/>
      <c r="L71" s="4"/>
      <c r="M71" s="4"/>
      <c r="N71" s="4">
        <v>-5000000</v>
      </c>
      <c r="O71" s="4">
        <f>SUM(C71:N71)</f>
        <v>10000000</v>
      </c>
      <c r="P71" s="34">
        <f t="shared" ref="P71:P133" si="33">+O71-B71</f>
        <v>0</v>
      </c>
      <c r="Q71" s="40">
        <f t="shared" ref="Q71:Q134" si="34">SUM(C71:N71)-O71</f>
        <v>0</v>
      </c>
      <c r="R71" s="38"/>
      <c r="S71" s="2"/>
      <c r="T71" s="2"/>
    </row>
    <row r="72" spans="1:20" x14ac:dyDescent="0.25">
      <c r="A72" s="58" t="s">
        <v>57</v>
      </c>
      <c r="B72" s="10">
        <f>SUM(B73:B77)</f>
        <v>100020000</v>
      </c>
      <c r="C72" s="10">
        <f t="shared" ref="C72:O72" si="35">SUM(C73:C77)</f>
        <v>615000</v>
      </c>
      <c r="D72" s="10">
        <f t="shared" si="35"/>
        <v>2115000</v>
      </c>
      <c r="E72" s="10">
        <f t="shared" si="35"/>
        <v>1755000</v>
      </c>
      <c r="F72" s="10">
        <f t="shared" si="35"/>
        <v>615000</v>
      </c>
      <c r="G72" s="10">
        <f t="shared" si="35"/>
        <v>615000</v>
      </c>
      <c r="H72" s="10">
        <f t="shared" si="35"/>
        <v>615000</v>
      </c>
      <c r="I72" s="10">
        <f t="shared" si="35"/>
        <v>615000</v>
      </c>
      <c r="J72" s="10">
        <f t="shared" si="35"/>
        <v>615000</v>
      </c>
      <c r="K72" s="10">
        <f t="shared" si="35"/>
        <v>615000</v>
      </c>
      <c r="L72" s="10">
        <f t="shared" si="35"/>
        <v>615000</v>
      </c>
      <c r="M72" s="10">
        <f t="shared" si="35"/>
        <v>615000</v>
      </c>
      <c r="N72" s="10">
        <f t="shared" si="35"/>
        <v>90615000</v>
      </c>
      <c r="O72" s="10">
        <f t="shared" si="35"/>
        <v>100020000</v>
      </c>
      <c r="P72" s="34">
        <f t="shared" si="33"/>
        <v>0</v>
      </c>
      <c r="Q72" s="40">
        <f t="shared" si="34"/>
        <v>0</v>
      </c>
      <c r="R72" s="38"/>
      <c r="S72" s="2"/>
      <c r="T72" s="2"/>
    </row>
    <row r="73" spans="1:20" x14ac:dyDescent="0.25">
      <c r="A73" s="63" t="s">
        <v>167</v>
      </c>
      <c r="B73" s="4">
        <v>50000000</v>
      </c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>
        <v>50000000</v>
      </c>
      <c r="O73" s="4">
        <f t="shared" si="23"/>
        <v>50000000</v>
      </c>
      <c r="P73" s="34">
        <f t="shared" si="33"/>
        <v>0</v>
      </c>
      <c r="Q73" s="40">
        <f t="shared" si="34"/>
        <v>0</v>
      </c>
      <c r="R73" s="38"/>
      <c r="S73" s="2"/>
      <c r="T73" s="2"/>
    </row>
    <row r="74" spans="1:20" x14ac:dyDescent="0.25">
      <c r="A74" s="63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>
        <f t="shared" si="23"/>
        <v>0</v>
      </c>
      <c r="P74" s="34"/>
      <c r="Q74" s="40">
        <f t="shared" si="34"/>
        <v>0</v>
      </c>
      <c r="R74" s="38"/>
      <c r="S74" s="2"/>
      <c r="T74" s="2"/>
    </row>
    <row r="75" spans="1:20" x14ac:dyDescent="0.25">
      <c r="A75" s="62" t="s">
        <v>168</v>
      </c>
      <c r="B75" s="4">
        <v>40000000</v>
      </c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>
        <v>40000000</v>
      </c>
      <c r="O75" s="4">
        <f t="shared" si="23"/>
        <v>40000000</v>
      </c>
      <c r="P75" s="34"/>
      <c r="Q75" s="40">
        <f t="shared" si="34"/>
        <v>0</v>
      </c>
      <c r="R75" s="38"/>
      <c r="S75" s="2"/>
      <c r="T75" s="2"/>
    </row>
    <row r="76" spans="1:20" ht="60" x14ac:dyDescent="0.25">
      <c r="A76" s="57" t="s">
        <v>164</v>
      </c>
      <c r="B76" s="4">
        <v>2640000</v>
      </c>
      <c r="C76" s="4"/>
      <c r="D76" s="65">
        <v>1500000</v>
      </c>
      <c r="E76" s="65">
        <v>1140000</v>
      </c>
      <c r="F76" s="4"/>
      <c r="G76" s="4"/>
      <c r="H76" s="4"/>
      <c r="I76" s="4"/>
      <c r="J76" s="4"/>
      <c r="K76" s="4"/>
      <c r="L76" s="4"/>
      <c r="M76" s="4"/>
      <c r="N76" s="4"/>
      <c r="O76" s="4">
        <f>SUM(C76:N76)</f>
        <v>2640000</v>
      </c>
      <c r="P76" s="34"/>
      <c r="Q76" s="40">
        <f t="shared" si="34"/>
        <v>0</v>
      </c>
      <c r="R76" s="38"/>
      <c r="S76" s="2"/>
      <c r="T76" s="2"/>
    </row>
    <row r="77" spans="1:20" x14ac:dyDescent="0.25">
      <c r="A77" s="59" t="s">
        <v>146</v>
      </c>
      <c r="B77" s="4">
        <v>7380000</v>
      </c>
      <c r="C77" s="4">
        <f>+B77/12</f>
        <v>615000</v>
      </c>
      <c r="D77" s="4">
        <f>+C77</f>
        <v>615000</v>
      </c>
      <c r="E77" s="4">
        <f t="shared" ref="E77:N77" si="36">+D77</f>
        <v>615000</v>
      </c>
      <c r="F77" s="4">
        <f t="shared" si="36"/>
        <v>615000</v>
      </c>
      <c r="G77" s="4">
        <f t="shared" si="36"/>
        <v>615000</v>
      </c>
      <c r="H77" s="4">
        <f t="shared" si="36"/>
        <v>615000</v>
      </c>
      <c r="I77" s="4">
        <f t="shared" si="36"/>
        <v>615000</v>
      </c>
      <c r="J77" s="4">
        <f t="shared" si="36"/>
        <v>615000</v>
      </c>
      <c r="K77" s="4">
        <f t="shared" si="36"/>
        <v>615000</v>
      </c>
      <c r="L77" s="4">
        <f t="shared" si="36"/>
        <v>615000</v>
      </c>
      <c r="M77" s="4">
        <f t="shared" si="36"/>
        <v>615000</v>
      </c>
      <c r="N77" s="4">
        <f t="shared" si="36"/>
        <v>615000</v>
      </c>
      <c r="O77" s="4">
        <f>SUM(C77:N77)</f>
        <v>7380000</v>
      </c>
      <c r="P77" s="34"/>
      <c r="Q77" s="40">
        <f t="shared" si="34"/>
        <v>0</v>
      </c>
      <c r="R77" s="38"/>
      <c r="S77" s="2"/>
      <c r="T77" s="2"/>
    </row>
    <row r="78" spans="1:20" hidden="1" x14ac:dyDescent="0.25">
      <c r="A78" s="66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34"/>
      <c r="Q78" s="40">
        <f t="shared" si="34"/>
        <v>0</v>
      </c>
      <c r="R78" s="38"/>
      <c r="S78" s="2"/>
      <c r="T78" s="2"/>
    </row>
    <row r="79" spans="1:20" hidden="1" x14ac:dyDescent="0.25">
      <c r="A79" s="5" t="s">
        <v>66</v>
      </c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>
        <f t="shared" si="23"/>
        <v>0</v>
      </c>
      <c r="P79" s="34"/>
      <c r="Q79" s="40">
        <f t="shared" si="34"/>
        <v>0</v>
      </c>
      <c r="R79" s="38"/>
      <c r="S79" s="2"/>
      <c r="T79" s="2"/>
    </row>
    <row r="80" spans="1:20" x14ac:dyDescent="0.25">
      <c r="A80" s="12" t="s">
        <v>52</v>
      </c>
      <c r="B80" s="8">
        <f t="shared" ref="B80:O80" si="37">+B72+B58+B54+B51+B49</f>
        <v>2443472309.4319592</v>
      </c>
      <c r="C80" s="8">
        <f t="shared" si="37"/>
        <v>240065348.03599662</v>
      </c>
      <c r="D80" s="8">
        <f t="shared" si="37"/>
        <v>223975490.03599662</v>
      </c>
      <c r="E80" s="8">
        <f t="shared" si="37"/>
        <v>120104141.15499662</v>
      </c>
      <c r="F80" s="8">
        <f t="shared" si="37"/>
        <v>119497475.15499662</v>
      </c>
      <c r="G80" s="8">
        <f t="shared" si="37"/>
        <v>178374433.15499663</v>
      </c>
      <c r="H80" s="8">
        <f t="shared" si="37"/>
        <v>200800284.39499661</v>
      </c>
      <c r="I80" s="8">
        <f t="shared" si="37"/>
        <v>210247607.46499664</v>
      </c>
      <c r="J80" s="8">
        <f t="shared" si="37"/>
        <v>189947607.46499664</v>
      </c>
      <c r="K80" s="8">
        <f t="shared" si="37"/>
        <v>224747607.46499664</v>
      </c>
      <c r="L80" s="8">
        <f t="shared" si="37"/>
        <v>209426361.46499664</v>
      </c>
      <c r="M80" s="8">
        <f t="shared" si="37"/>
        <v>213242236.03599662</v>
      </c>
      <c r="N80" s="8">
        <f t="shared" si="37"/>
        <v>313043717.60599661</v>
      </c>
      <c r="O80" s="8">
        <f t="shared" si="37"/>
        <v>2443472309.433959</v>
      </c>
      <c r="P80" s="34"/>
      <c r="Q80" s="40">
        <f t="shared" si="34"/>
        <v>0</v>
      </c>
      <c r="R80" s="39"/>
      <c r="S80" s="2"/>
    </row>
    <row r="81" spans="1:23" x14ac:dyDescent="0.25">
      <c r="A81" s="5" t="s">
        <v>54</v>
      </c>
      <c r="B81" s="95">
        <v>321558151.11005127</v>
      </c>
      <c r="C81" s="4">
        <f>+B81/12</f>
        <v>26796512.592504274</v>
      </c>
      <c r="D81" s="4">
        <f>+C81</f>
        <v>26796512.592504274</v>
      </c>
      <c r="E81" s="4">
        <f t="shared" ref="E81:N81" si="38">+D81</f>
        <v>26796512.592504274</v>
      </c>
      <c r="F81" s="4">
        <f t="shared" si="38"/>
        <v>26796512.592504274</v>
      </c>
      <c r="G81" s="4">
        <f t="shared" si="38"/>
        <v>26796512.592504274</v>
      </c>
      <c r="H81" s="4">
        <f t="shared" si="38"/>
        <v>26796512.592504274</v>
      </c>
      <c r="I81" s="4">
        <f t="shared" si="38"/>
        <v>26796512.592504274</v>
      </c>
      <c r="J81" s="4">
        <f t="shared" si="38"/>
        <v>26796512.592504274</v>
      </c>
      <c r="K81" s="4">
        <f t="shared" si="38"/>
        <v>26796512.592504274</v>
      </c>
      <c r="L81" s="4">
        <f t="shared" si="38"/>
        <v>26796512.592504274</v>
      </c>
      <c r="M81" s="4">
        <f t="shared" si="38"/>
        <v>26796512.592504274</v>
      </c>
      <c r="N81" s="4">
        <f t="shared" si="38"/>
        <v>26796512.592504274</v>
      </c>
      <c r="O81" s="4">
        <f t="shared" si="23"/>
        <v>321558151.11005121</v>
      </c>
      <c r="P81" s="34">
        <f t="shared" si="33"/>
        <v>0</v>
      </c>
      <c r="Q81" s="40">
        <f t="shared" si="34"/>
        <v>0</v>
      </c>
      <c r="R81" s="38"/>
      <c r="S81" s="2"/>
      <c r="T81" s="2"/>
      <c r="W81" s="2"/>
    </row>
    <row r="82" spans="1:23" x14ac:dyDescent="0.25">
      <c r="A82" s="5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34"/>
      <c r="Q82" s="40">
        <f t="shared" si="34"/>
        <v>0</v>
      </c>
      <c r="R82" s="38"/>
      <c r="S82" s="2"/>
      <c r="T82" s="2"/>
      <c r="W82" s="2"/>
    </row>
    <row r="83" spans="1:23" x14ac:dyDescent="0.25">
      <c r="A83" s="5" t="s">
        <v>55</v>
      </c>
      <c r="B83" s="67">
        <v>260086854.6773397</v>
      </c>
      <c r="C83" s="4">
        <f>+B83/12</f>
        <v>21673904.556444976</v>
      </c>
      <c r="D83" s="4">
        <f>+C83</f>
        <v>21673904.556444976</v>
      </c>
      <c r="E83" s="4">
        <f t="shared" ref="E83:N85" si="39">+D83</f>
        <v>21673904.556444976</v>
      </c>
      <c r="F83" s="4">
        <f t="shared" si="39"/>
        <v>21673904.556444976</v>
      </c>
      <c r="G83" s="4">
        <f t="shared" si="39"/>
        <v>21673904.556444976</v>
      </c>
      <c r="H83" s="4">
        <f t="shared" si="39"/>
        <v>21673904.556444976</v>
      </c>
      <c r="I83" s="4">
        <f t="shared" si="39"/>
        <v>21673904.556444976</v>
      </c>
      <c r="J83" s="4">
        <f t="shared" si="39"/>
        <v>21673904.556444976</v>
      </c>
      <c r="K83" s="4">
        <f t="shared" si="39"/>
        <v>21673904.556444976</v>
      </c>
      <c r="L83" s="4">
        <f t="shared" si="39"/>
        <v>21673904.556444976</v>
      </c>
      <c r="M83" s="4">
        <f t="shared" si="39"/>
        <v>21673904.556444976</v>
      </c>
      <c r="N83" s="4">
        <f t="shared" si="39"/>
        <v>21673904.556444976</v>
      </c>
      <c r="O83" s="4">
        <f t="shared" si="23"/>
        <v>260086854.6773397</v>
      </c>
      <c r="P83" s="34">
        <f t="shared" si="33"/>
        <v>0</v>
      </c>
      <c r="Q83" s="40">
        <f t="shared" si="34"/>
        <v>0</v>
      </c>
      <c r="R83" s="38"/>
      <c r="S83" s="2"/>
      <c r="T83" s="2"/>
      <c r="W83" s="2"/>
    </row>
    <row r="84" spans="1:23" x14ac:dyDescent="0.25">
      <c r="A84" s="5" t="s">
        <v>169</v>
      </c>
      <c r="B84" s="87">
        <f>45000000+28400000</f>
        <v>73400000</v>
      </c>
      <c r="C84" s="4">
        <v>0</v>
      </c>
      <c r="D84" s="4">
        <f>+[8]Resumennna!P363</f>
        <v>0</v>
      </c>
      <c r="E84" s="4">
        <f>+[8]Resumennna!Q363</f>
        <v>0</v>
      </c>
      <c r="F84" s="4">
        <f>+[8]Resumennna!R363</f>
        <v>0</v>
      </c>
      <c r="G84" s="4">
        <f>+[8]Resumennna!S363</f>
        <v>0</v>
      </c>
      <c r="H84" s="4">
        <v>0</v>
      </c>
      <c r="I84" s="4">
        <f>+[8]Resumennna!U363</f>
        <v>0</v>
      </c>
      <c r="J84" s="4">
        <f>+[8]Resumennna!V363</f>
        <v>0</v>
      </c>
      <c r="K84" s="4">
        <f>+[8]Resumennna!W363</f>
        <v>0</v>
      </c>
      <c r="L84" s="4">
        <f>45000000+28400000</f>
        <v>73400000</v>
      </c>
      <c r="M84" s="4">
        <f>+[8]Resumennna!Y363</f>
        <v>0</v>
      </c>
      <c r="N84" s="4">
        <f>+[8]Resumennna!Z363</f>
        <v>0</v>
      </c>
      <c r="O84" s="4">
        <f t="shared" si="23"/>
        <v>73400000</v>
      </c>
      <c r="P84" s="34">
        <f t="shared" si="33"/>
        <v>0</v>
      </c>
      <c r="Q84" s="40">
        <f t="shared" si="34"/>
        <v>0</v>
      </c>
      <c r="R84" s="38"/>
      <c r="S84" s="2"/>
      <c r="T84" s="2"/>
      <c r="W84" s="2"/>
    </row>
    <row r="85" spans="1:23" x14ac:dyDescent="0.25">
      <c r="A85" s="5" t="s">
        <v>18</v>
      </c>
      <c r="B85" s="87">
        <f>10800000-7800000</f>
        <v>3000000</v>
      </c>
      <c r="C85" s="4">
        <v>900000</v>
      </c>
      <c r="D85" s="4">
        <v>900000</v>
      </c>
      <c r="E85" s="4">
        <v>0</v>
      </c>
      <c r="F85" s="4">
        <f t="shared" si="39"/>
        <v>0</v>
      </c>
      <c r="G85" s="4">
        <f t="shared" si="39"/>
        <v>0</v>
      </c>
      <c r="H85" s="4">
        <v>0</v>
      </c>
      <c r="I85" s="4">
        <f t="shared" si="39"/>
        <v>0</v>
      </c>
      <c r="J85" s="4">
        <f t="shared" si="39"/>
        <v>0</v>
      </c>
      <c r="K85" s="4">
        <v>300000</v>
      </c>
      <c r="L85" s="4">
        <f t="shared" si="39"/>
        <v>300000</v>
      </c>
      <c r="M85" s="4">
        <f t="shared" si="39"/>
        <v>300000</v>
      </c>
      <c r="N85" s="4">
        <f t="shared" si="39"/>
        <v>300000</v>
      </c>
      <c r="O85" s="4">
        <f t="shared" si="23"/>
        <v>3000000</v>
      </c>
      <c r="P85" s="34">
        <f t="shared" si="33"/>
        <v>0</v>
      </c>
      <c r="Q85" s="40">
        <f t="shared" si="34"/>
        <v>0</v>
      </c>
      <c r="R85" s="38"/>
      <c r="S85" s="2"/>
      <c r="T85" s="2"/>
    </row>
    <row r="86" spans="1:23" x14ac:dyDescent="0.25">
      <c r="A86" s="5" t="s">
        <v>71</v>
      </c>
      <c r="B86" s="95">
        <v>12900000</v>
      </c>
      <c r="C86" s="4">
        <f t="shared" ref="C86" si="40">+B86/12</f>
        <v>1075000</v>
      </c>
      <c r="D86" s="4">
        <f t="shared" ref="D86" si="41">+C86</f>
        <v>1075000</v>
      </c>
      <c r="E86" s="4">
        <f>+D86</f>
        <v>1075000</v>
      </c>
      <c r="F86" s="4">
        <f t="shared" ref="F86:N86" si="42">+E86</f>
        <v>1075000</v>
      </c>
      <c r="G86" s="4">
        <f t="shared" si="42"/>
        <v>1075000</v>
      </c>
      <c r="H86" s="4">
        <f t="shared" si="42"/>
        <v>1075000</v>
      </c>
      <c r="I86" s="4">
        <f t="shared" si="42"/>
        <v>1075000</v>
      </c>
      <c r="J86" s="4">
        <f t="shared" si="42"/>
        <v>1075000</v>
      </c>
      <c r="K86" s="4">
        <f t="shared" si="42"/>
        <v>1075000</v>
      </c>
      <c r="L86" s="4">
        <f t="shared" si="42"/>
        <v>1075000</v>
      </c>
      <c r="M86" s="4">
        <f t="shared" si="42"/>
        <v>1075000</v>
      </c>
      <c r="N86" s="4">
        <f t="shared" si="42"/>
        <v>1075000</v>
      </c>
      <c r="O86" s="4">
        <f t="shared" si="23"/>
        <v>12900000</v>
      </c>
      <c r="P86" s="34">
        <f t="shared" si="33"/>
        <v>0</v>
      </c>
      <c r="Q86" s="40">
        <f t="shared" si="34"/>
        <v>0</v>
      </c>
      <c r="R86" s="38"/>
      <c r="S86" s="2"/>
      <c r="T86" s="2"/>
    </row>
    <row r="87" spans="1:23" x14ac:dyDescent="0.25">
      <c r="A87" s="5" t="s">
        <v>84</v>
      </c>
      <c r="B87" s="67">
        <v>369000</v>
      </c>
      <c r="C87" s="4">
        <v>0</v>
      </c>
      <c r="D87" s="4">
        <v>0</v>
      </c>
      <c r="E87" s="4">
        <v>0</v>
      </c>
      <c r="F87" s="4">
        <v>0</v>
      </c>
      <c r="G87" s="4">
        <f t="shared" ref="G87:N88" si="43">+F87</f>
        <v>0</v>
      </c>
      <c r="H87" s="67">
        <v>369000</v>
      </c>
      <c r="I87" s="4"/>
      <c r="J87" s="4"/>
      <c r="K87" s="4"/>
      <c r="L87" s="4"/>
      <c r="M87" s="4"/>
      <c r="N87" s="4"/>
      <c r="O87" s="4">
        <f t="shared" si="23"/>
        <v>369000</v>
      </c>
      <c r="P87" s="34">
        <f t="shared" si="33"/>
        <v>0</v>
      </c>
      <c r="Q87" s="40">
        <f t="shared" si="34"/>
        <v>0</v>
      </c>
      <c r="R87" s="38"/>
      <c r="S87" s="2"/>
      <c r="T87" s="2"/>
    </row>
    <row r="88" spans="1:23" x14ac:dyDescent="0.25">
      <c r="A88" s="5" t="s">
        <v>19</v>
      </c>
      <c r="B88" s="95">
        <v>143580000</v>
      </c>
      <c r="C88" s="4">
        <f>+B88/1/12</f>
        <v>11965000</v>
      </c>
      <c r="D88" s="4">
        <f>+C88</f>
        <v>11965000</v>
      </c>
      <c r="E88" s="4">
        <f t="shared" ref="E88:F88" si="44">+D88</f>
        <v>11965000</v>
      </c>
      <c r="F88" s="4">
        <f t="shared" si="44"/>
        <v>11965000</v>
      </c>
      <c r="G88" s="4">
        <f t="shared" si="43"/>
        <v>11965000</v>
      </c>
      <c r="H88" s="4">
        <f t="shared" ref="H88" si="45">+G88</f>
        <v>11965000</v>
      </c>
      <c r="I88" s="4">
        <f t="shared" si="43"/>
        <v>11965000</v>
      </c>
      <c r="J88" s="4">
        <f t="shared" si="43"/>
        <v>11965000</v>
      </c>
      <c r="K88" s="4">
        <f t="shared" si="43"/>
        <v>11965000</v>
      </c>
      <c r="L88" s="4">
        <f t="shared" si="43"/>
        <v>11965000</v>
      </c>
      <c r="M88" s="4">
        <f t="shared" si="43"/>
        <v>11965000</v>
      </c>
      <c r="N88" s="4">
        <f t="shared" si="43"/>
        <v>11965000</v>
      </c>
      <c r="O88" s="4">
        <f t="shared" si="23"/>
        <v>143580000</v>
      </c>
      <c r="P88" s="34">
        <f t="shared" si="33"/>
        <v>0</v>
      </c>
      <c r="Q88" s="40">
        <f t="shared" si="34"/>
        <v>0</v>
      </c>
      <c r="R88" s="38"/>
      <c r="S88" s="2"/>
      <c r="T88" s="2"/>
    </row>
    <row r="89" spans="1:23" ht="30" x14ac:dyDescent="0.25">
      <c r="A89" s="21" t="s">
        <v>89</v>
      </c>
      <c r="B89" s="95">
        <f>55500000-46000000</f>
        <v>9500000</v>
      </c>
      <c r="C89" s="4">
        <v>0</v>
      </c>
      <c r="D89" s="4">
        <v>0</v>
      </c>
      <c r="E89" s="4">
        <v>0</v>
      </c>
      <c r="F89" s="69">
        <v>0</v>
      </c>
      <c r="G89" s="69">
        <v>0</v>
      </c>
      <c r="H89" s="69">
        <v>0</v>
      </c>
      <c r="I89" s="69">
        <v>0</v>
      </c>
      <c r="J89" s="69">
        <v>0</v>
      </c>
      <c r="K89" s="69">
        <v>0</v>
      </c>
      <c r="L89" s="69">
        <v>0</v>
      </c>
      <c r="M89" s="69">
        <v>6000000</v>
      </c>
      <c r="N89" s="69">
        <v>3500000</v>
      </c>
      <c r="O89" s="4">
        <f>SUM(C89:N89)</f>
        <v>9500000</v>
      </c>
      <c r="P89" s="34">
        <f t="shared" si="33"/>
        <v>0</v>
      </c>
      <c r="Q89" s="40">
        <f t="shared" si="34"/>
        <v>0</v>
      </c>
      <c r="R89" s="38"/>
      <c r="S89" s="2"/>
      <c r="T89" s="2"/>
    </row>
    <row r="90" spans="1:23" x14ac:dyDescent="0.25">
      <c r="A90" s="5" t="s">
        <v>72</v>
      </c>
      <c r="B90" s="95">
        <f>65580000-3600000</f>
        <v>61980000</v>
      </c>
      <c r="C90" s="4">
        <v>5465000</v>
      </c>
      <c r="D90" s="4">
        <f>+C90</f>
        <v>5465000</v>
      </c>
      <c r="E90" s="52">
        <f>5465000-3600000</f>
        <v>1865000</v>
      </c>
      <c r="F90" s="4">
        <v>5465000</v>
      </c>
      <c r="G90" s="4">
        <f t="shared" ref="G90:N90" si="46">+F90</f>
        <v>5465000</v>
      </c>
      <c r="H90" s="4">
        <f t="shared" si="46"/>
        <v>5465000</v>
      </c>
      <c r="I90" s="4">
        <f t="shared" si="46"/>
        <v>5465000</v>
      </c>
      <c r="J90" s="4">
        <f t="shared" si="46"/>
        <v>5465000</v>
      </c>
      <c r="K90" s="4">
        <f t="shared" si="46"/>
        <v>5465000</v>
      </c>
      <c r="L90" s="4">
        <f t="shared" si="46"/>
        <v>5465000</v>
      </c>
      <c r="M90" s="4">
        <f t="shared" si="46"/>
        <v>5465000</v>
      </c>
      <c r="N90" s="4">
        <f t="shared" si="46"/>
        <v>5465000</v>
      </c>
      <c r="O90" s="4">
        <f t="shared" si="23"/>
        <v>61980000</v>
      </c>
      <c r="P90" s="34">
        <f t="shared" si="33"/>
        <v>0</v>
      </c>
      <c r="Q90" s="40">
        <f t="shared" si="34"/>
        <v>0</v>
      </c>
      <c r="R90" s="38"/>
      <c r="S90" s="2"/>
      <c r="T90" s="2"/>
    </row>
    <row r="91" spans="1:23" ht="45" x14ac:dyDescent="0.25">
      <c r="A91" s="21" t="s">
        <v>65</v>
      </c>
      <c r="B91" s="95">
        <v>121000000</v>
      </c>
      <c r="C91" s="4">
        <v>0</v>
      </c>
      <c r="D91" s="4">
        <f>+[8]Resumennna!P317</f>
        <v>0</v>
      </c>
      <c r="E91" s="74">
        <f>28000000+16250000</f>
        <v>44250000</v>
      </c>
      <c r="F91" s="74">
        <v>0</v>
      </c>
      <c r="G91" s="74">
        <v>0</v>
      </c>
      <c r="H91" s="74">
        <v>16250000</v>
      </c>
      <c r="I91" s="74">
        <v>0</v>
      </c>
      <c r="J91" s="74">
        <v>0</v>
      </c>
      <c r="K91" s="74">
        <f>28000000+16250000</f>
        <v>44250000</v>
      </c>
      <c r="L91" s="4">
        <f>+[8]Resumennna!X317</f>
        <v>0</v>
      </c>
      <c r="M91" s="4">
        <f>+[8]Resumennna!Y317</f>
        <v>0</v>
      </c>
      <c r="N91" s="4">
        <v>16250000</v>
      </c>
      <c r="O91" s="4">
        <f t="shared" si="23"/>
        <v>121000000</v>
      </c>
      <c r="P91" s="34">
        <f t="shared" si="33"/>
        <v>0</v>
      </c>
      <c r="Q91" s="40">
        <f t="shared" si="34"/>
        <v>0</v>
      </c>
      <c r="R91" s="38"/>
      <c r="S91" s="2"/>
      <c r="T91" s="2"/>
    </row>
    <row r="92" spans="1:23" ht="45" x14ac:dyDescent="0.25">
      <c r="A92" s="21" t="s">
        <v>20</v>
      </c>
      <c r="B92" s="4"/>
      <c r="C92" s="4">
        <v>0</v>
      </c>
      <c r="D92" s="4">
        <f>+[8]Resumennna!P348</f>
        <v>0</v>
      </c>
      <c r="E92" s="4">
        <f>+[8]Resumennna!Q348</f>
        <v>0</v>
      </c>
      <c r="F92" s="4">
        <v>0</v>
      </c>
      <c r="G92" s="4">
        <f>+[8]Resumennna!S348</f>
        <v>0</v>
      </c>
      <c r="H92" s="4">
        <f>+[8]Resumennna!T348</f>
        <v>0</v>
      </c>
      <c r="I92" s="4">
        <f>+[8]Resumennna!U348</f>
        <v>0</v>
      </c>
      <c r="J92" s="4">
        <f>+[8]Resumennna!V348</f>
        <v>0</v>
      </c>
      <c r="K92" s="4">
        <v>0</v>
      </c>
      <c r="L92" s="4">
        <f>+[8]Resumennna!X348</f>
        <v>0</v>
      </c>
      <c r="M92" s="4">
        <f>+[8]Resumennna!Y348</f>
        <v>0</v>
      </c>
      <c r="N92" s="4">
        <f>+[8]Resumennna!Z348</f>
        <v>0</v>
      </c>
      <c r="O92" s="4">
        <f t="shared" si="23"/>
        <v>0</v>
      </c>
      <c r="P92" s="34">
        <f t="shared" si="33"/>
        <v>0</v>
      </c>
      <c r="Q92" s="40">
        <f t="shared" si="34"/>
        <v>0</v>
      </c>
      <c r="R92" s="38"/>
      <c r="S92" s="2"/>
      <c r="T92" s="2"/>
    </row>
    <row r="93" spans="1:23" x14ac:dyDescent="0.25">
      <c r="A93" s="5" t="s">
        <v>21</v>
      </c>
      <c r="B93" s="67">
        <v>31500000</v>
      </c>
      <c r="C93" s="69">
        <v>0</v>
      </c>
      <c r="D93" s="69">
        <v>0</v>
      </c>
      <c r="E93" s="69">
        <v>0</v>
      </c>
      <c r="F93" s="69">
        <v>3500000</v>
      </c>
      <c r="G93" s="69">
        <v>3500000</v>
      </c>
      <c r="H93" s="69">
        <v>3500000</v>
      </c>
      <c r="I93" s="69">
        <v>3500000</v>
      </c>
      <c r="J93" s="69">
        <v>3500000</v>
      </c>
      <c r="K93" s="69">
        <v>3500000</v>
      </c>
      <c r="L93" s="69">
        <v>3500000</v>
      </c>
      <c r="M93" s="69">
        <v>3500000</v>
      </c>
      <c r="N93" s="69">
        <v>3500000</v>
      </c>
      <c r="O93" s="4">
        <f t="shared" si="23"/>
        <v>31500000</v>
      </c>
      <c r="P93" s="34">
        <f t="shared" si="33"/>
        <v>0</v>
      </c>
      <c r="Q93" s="40">
        <f t="shared" si="34"/>
        <v>0</v>
      </c>
      <c r="R93" s="38"/>
      <c r="S93" s="2"/>
      <c r="T93" s="2"/>
    </row>
    <row r="94" spans="1:23" x14ac:dyDescent="0.25">
      <c r="A94" s="5" t="s">
        <v>182</v>
      </c>
      <c r="B94" s="95">
        <f>35155000-3870000</f>
        <v>31285000</v>
      </c>
      <c r="C94" s="4"/>
      <c r="D94" s="4"/>
      <c r="E94" s="94">
        <f>15435000+428500-3870000</f>
        <v>11993500</v>
      </c>
      <c r="F94" s="74">
        <v>428500</v>
      </c>
      <c r="G94" s="74">
        <v>428500</v>
      </c>
      <c r="H94" s="74">
        <v>428500</v>
      </c>
      <c r="I94" s="74">
        <v>428500</v>
      </c>
      <c r="J94" s="74">
        <f>15435000+428500</f>
        <v>15863500</v>
      </c>
      <c r="K94" s="74">
        <v>428500</v>
      </c>
      <c r="L94" s="74">
        <v>428500</v>
      </c>
      <c r="M94" s="74">
        <v>428500</v>
      </c>
      <c r="N94" s="74">
        <v>428500</v>
      </c>
      <c r="O94" s="4">
        <f t="shared" si="23"/>
        <v>31285000</v>
      </c>
      <c r="P94" s="34">
        <f t="shared" si="33"/>
        <v>0</v>
      </c>
      <c r="Q94" s="40">
        <f t="shared" si="34"/>
        <v>0</v>
      </c>
      <c r="R94" s="38"/>
      <c r="S94" s="2"/>
      <c r="T94" s="2"/>
    </row>
    <row r="95" spans="1:23" x14ac:dyDescent="0.25">
      <c r="A95" s="21" t="s">
        <v>85</v>
      </c>
      <c r="B95" s="95">
        <v>8000000</v>
      </c>
      <c r="C95" s="4">
        <f>+B95/12</f>
        <v>666666.66666666663</v>
      </c>
      <c r="D95" s="4">
        <f>+C95</f>
        <v>666666.66666666663</v>
      </c>
      <c r="E95" s="4">
        <f t="shared" ref="E95:N95" si="47">+D95</f>
        <v>666666.66666666663</v>
      </c>
      <c r="F95" s="4">
        <f t="shared" si="47"/>
        <v>666666.66666666663</v>
      </c>
      <c r="G95" s="4">
        <f t="shared" si="47"/>
        <v>666666.66666666663</v>
      </c>
      <c r="H95" s="4">
        <f t="shared" si="47"/>
        <v>666666.66666666663</v>
      </c>
      <c r="I95" s="4">
        <f t="shared" si="47"/>
        <v>666666.66666666663</v>
      </c>
      <c r="J95" s="4">
        <f t="shared" si="47"/>
        <v>666666.66666666663</v>
      </c>
      <c r="K95" s="4">
        <f t="shared" si="47"/>
        <v>666666.66666666663</v>
      </c>
      <c r="L95" s="4">
        <f t="shared" si="47"/>
        <v>666666.66666666663</v>
      </c>
      <c r="M95" s="4">
        <f t="shared" si="47"/>
        <v>666666.66666666663</v>
      </c>
      <c r="N95" s="4">
        <f t="shared" si="47"/>
        <v>666666.66666666663</v>
      </c>
      <c r="O95" s="4">
        <f t="shared" si="23"/>
        <v>8000000.0000000009</v>
      </c>
      <c r="P95" s="34">
        <f t="shared" si="33"/>
        <v>0</v>
      </c>
      <c r="Q95" s="40">
        <f t="shared" si="34"/>
        <v>0</v>
      </c>
      <c r="R95" s="38"/>
      <c r="S95" s="2"/>
      <c r="T95" s="2"/>
    </row>
    <row r="96" spans="1:23" x14ac:dyDescent="0.25">
      <c r="A96" s="5" t="s">
        <v>23</v>
      </c>
      <c r="B96" s="95">
        <v>117000000</v>
      </c>
      <c r="C96" s="4">
        <v>0</v>
      </c>
      <c r="D96" s="89">
        <v>13000000</v>
      </c>
      <c r="E96" s="74">
        <v>0</v>
      </c>
      <c r="F96" s="74">
        <v>0</v>
      </c>
      <c r="G96" s="74">
        <v>13000000</v>
      </c>
      <c r="H96" s="74">
        <v>13000000</v>
      </c>
      <c r="I96" s="74">
        <v>13000000</v>
      </c>
      <c r="J96" s="74">
        <v>13000000</v>
      </c>
      <c r="K96" s="74">
        <v>13000000</v>
      </c>
      <c r="L96" s="74">
        <v>13000000</v>
      </c>
      <c r="M96" s="74">
        <v>13000000</v>
      </c>
      <c r="N96" s="74">
        <v>13000000</v>
      </c>
      <c r="O96" s="4">
        <f t="shared" si="23"/>
        <v>117000000</v>
      </c>
      <c r="P96" s="34">
        <f t="shared" si="33"/>
        <v>0</v>
      </c>
      <c r="Q96" s="40">
        <f t="shared" si="34"/>
        <v>0</v>
      </c>
      <c r="R96" s="38"/>
      <c r="S96" s="2"/>
      <c r="T96" s="2"/>
    </row>
    <row r="97" spans="1:20" x14ac:dyDescent="0.25">
      <c r="A97" s="5" t="s">
        <v>181</v>
      </c>
      <c r="B97" s="95">
        <v>12000000</v>
      </c>
      <c r="C97" s="75">
        <v>0</v>
      </c>
      <c r="D97" s="75">
        <v>0</v>
      </c>
      <c r="E97" s="75">
        <v>0</v>
      </c>
      <c r="F97" s="75">
        <v>0</v>
      </c>
      <c r="G97" s="75">
        <v>6000000</v>
      </c>
      <c r="H97" s="75">
        <v>0</v>
      </c>
      <c r="I97" s="75">
        <v>6000000</v>
      </c>
      <c r="J97" s="75">
        <v>0</v>
      </c>
      <c r="K97" s="75">
        <v>0</v>
      </c>
      <c r="L97" s="75">
        <v>0</v>
      </c>
      <c r="M97" s="75">
        <v>0</v>
      </c>
      <c r="N97" s="75">
        <v>0</v>
      </c>
      <c r="O97" s="4">
        <f t="shared" si="23"/>
        <v>12000000</v>
      </c>
      <c r="P97" s="34"/>
      <c r="Q97" s="40">
        <f t="shared" si="34"/>
        <v>0</v>
      </c>
      <c r="R97" s="38"/>
      <c r="S97" s="2"/>
      <c r="T97" s="2"/>
    </row>
    <row r="98" spans="1:20" ht="30" x14ac:dyDescent="0.25">
      <c r="A98" s="21" t="s">
        <v>37</v>
      </c>
      <c r="B98" s="95">
        <v>82018600</v>
      </c>
      <c r="C98" s="74">
        <v>6463000</v>
      </c>
      <c r="D98" s="89">
        <v>6463000</v>
      </c>
      <c r="E98" s="74">
        <v>6463000</v>
      </c>
      <c r="F98" s="74">
        <v>6463000</v>
      </c>
      <c r="G98" s="74">
        <v>10925600</v>
      </c>
      <c r="H98" s="74">
        <v>6463000</v>
      </c>
      <c r="I98" s="74">
        <v>6463000</v>
      </c>
      <c r="J98" s="74">
        <v>6463000</v>
      </c>
      <c r="K98" s="74">
        <v>6463000</v>
      </c>
      <c r="L98" s="74">
        <v>6463000</v>
      </c>
      <c r="M98" s="74">
        <v>6463000</v>
      </c>
      <c r="N98" s="74">
        <v>6463000</v>
      </c>
      <c r="O98" s="4">
        <f t="shared" si="23"/>
        <v>82018600</v>
      </c>
      <c r="P98" s="34">
        <f t="shared" si="33"/>
        <v>0</v>
      </c>
      <c r="Q98" s="40">
        <f t="shared" si="34"/>
        <v>0</v>
      </c>
      <c r="R98" s="38"/>
      <c r="S98" s="2"/>
      <c r="T98" s="2"/>
    </row>
    <row r="99" spans="1:20" ht="30" x14ac:dyDescent="0.25">
      <c r="A99" s="21" t="s">
        <v>24</v>
      </c>
      <c r="B99" s="87">
        <f>7000000+1000000</f>
        <v>8000000</v>
      </c>
      <c r="C99" s="4">
        <v>0</v>
      </c>
      <c r="D99" s="4"/>
      <c r="E99" s="4"/>
      <c r="F99" s="4"/>
      <c r="G99" s="4"/>
      <c r="H99" s="4"/>
      <c r="I99" s="4">
        <f>3500000+500000</f>
        <v>4000000</v>
      </c>
      <c r="J99" s="4"/>
      <c r="K99" s="4"/>
      <c r="L99" s="4"/>
      <c r="M99" s="4">
        <f>+I99</f>
        <v>4000000</v>
      </c>
      <c r="N99" s="4"/>
      <c r="O99" s="4">
        <f t="shared" si="23"/>
        <v>8000000</v>
      </c>
      <c r="P99" s="34">
        <f t="shared" si="33"/>
        <v>0</v>
      </c>
      <c r="Q99" s="40">
        <f t="shared" si="34"/>
        <v>0</v>
      </c>
      <c r="R99" s="38"/>
      <c r="S99" s="2"/>
      <c r="T99" s="2"/>
    </row>
    <row r="100" spans="1:20" x14ac:dyDescent="0.25">
      <c r="A100" s="21" t="s">
        <v>25</v>
      </c>
      <c r="B100" s="95">
        <v>52971800</v>
      </c>
      <c r="C100" s="74">
        <v>3789200</v>
      </c>
      <c r="D100" s="89">
        <v>3789200</v>
      </c>
      <c r="E100" s="74">
        <v>3789200</v>
      </c>
      <c r="F100" s="74">
        <v>4623000</v>
      </c>
      <c r="G100" s="74">
        <v>8789200</v>
      </c>
      <c r="H100" s="74">
        <v>3789200</v>
      </c>
      <c r="I100" s="74">
        <v>4623000</v>
      </c>
      <c r="J100" s="74">
        <v>3789200</v>
      </c>
      <c r="K100" s="74">
        <v>4623000</v>
      </c>
      <c r="L100" s="74">
        <v>3789200</v>
      </c>
      <c r="M100" s="74">
        <v>3789200</v>
      </c>
      <c r="N100" s="74">
        <v>3789200</v>
      </c>
      <c r="O100" s="4">
        <f t="shared" si="23"/>
        <v>52971800</v>
      </c>
      <c r="P100" s="34">
        <f t="shared" si="33"/>
        <v>0</v>
      </c>
      <c r="Q100" s="40">
        <f t="shared" si="34"/>
        <v>0</v>
      </c>
      <c r="R100" s="38"/>
      <c r="S100" s="2"/>
      <c r="T100" s="2"/>
    </row>
    <row r="101" spans="1:20" x14ac:dyDescent="0.25">
      <c r="A101" s="21" t="s">
        <v>180</v>
      </c>
      <c r="B101" s="67">
        <v>30000000</v>
      </c>
      <c r="C101" s="4"/>
      <c r="D101" s="4"/>
      <c r="E101" s="4"/>
      <c r="F101" s="4"/>
      <c r="G101" s="4"/>
      <c r="H101" s="4">
        <v>10000000</v>
      </c>
      <c r="I101" s="4"/>
      <c r="J101" s="4"/>
      <c r="K101" s="4">
        <v>10000000</v>
      </c>
      <c r="L101" s="4"/>
      <c r="M101" s="4"/>
      <c r="N101" s="4">
        <v>10000000</v>
      </c>
      <c r="O101" s="4">
        <f t="shared" si="23"/>
        <v>30000000</v>
      </c>
      <c r="P101" s="34"/>
      <c r="Q101" s="40">
        <f t="shared" si="34"/>
        <v>0</v>
      </c>
      <c r="R101" s="38"/>
      <c r="S101" s="2"/>
      <c r="T101" s="2"/>
    </row>
    <row r="102" spans="1:20" x14ac:dyDescent="0.25">
      <c r="A102" s="5" t="s">
        <v>60</v>
      </c>
      <c r="B102" s="95">
        <v>45470400</v>
      </c>
      <c r="C102" s="4">
        <f>+B102/1/12</f>
        <v>3789200</v>
      </c>
      <c r="D102" s="4">
        <f>+C102</f>
        <v>3789200</v>
      </c>
      <c r="E102" s="4">
        <f t="shared" ref="E102:F102" si="48">+D102</f>
        <v>3789200</v>
      </c>
      <c r="F102" s="4">
        <f t="shared" si="48"/>
        <v>3789200</v>
      </c>
      <c r="G102" s="4">
        <f t="shared" ref="G102:H102" si="49">+F102</f>
        <v>3789200</v>
      </c>
      <c r="H102" s="4">
        <f t="shared" si="49"/>
        <v>3789200</v>
      </c>
      <c r="I102" s="4">
        <f t="shared" ref="I102" si="50">+H102</f>
        <v>3789200</v>
      </c>
      <c r="J102" s="4">
        <f t="shared" ref="J102" si="51">+I102</f>
        <v>3789200</v>
      </c>
      <c r="K102" s="4">
        <f t="shared" ref="K102" si="52">+J102</f>
        <v>3789200</v>
      </c>
      <c r="L102" s="4">
        <f t="shared" ref="L102" si="53">+K102</f>
        <v>3789200</v>
      </c>
      <c r="M102" s="4">
        <f t="shared" ref="M102" si="54">+L102</f>
        <v>3789200</v>
      </c>
      <c r="N102" s="4">
        <f t="shared" ref="N102" si="55">+M102</f>
        <v>3789200</v>
      </c>
      <c r="O102" s="4">
        <f t="shared" si="23"/>
        <v>45470400</v>
      </c>
      <c r="P102" s="34">
        <f t="shared" si="33"/>
        <v>0</v>
      </c>
      <c r="Q102" s="40">
        <f t="shared" si="34"/>
        <v>0</v>
      </c>
      <c r="R102" s="38"/>
      <c r="S102" s="2"/>
      <c r="T102" s="2"/>
    </row>
    <row r="103" spans="1:20" x14ac:dyDescent="0.25">
      <c r="A103" s="5" t="s">
        <v>26</v>
      </c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>
        <f t="shared" si="23"/>
        <v>0</v>
      </c>
      <c r="P103" s="34">
        <f t="shared" si="33"/>
        <v>0</v>
      </c>
      <c r="Q103" s="40">
        <f t="shared" si="34"/>
        <v>0</v>
      </c>
      <c r="R103" s="38"/>
      <c r="S103" s="2"/>
      <c r="T103" s="2"/>
    </row>
    <row r="104" spans="1:20" x14ac:dyDescent="0.25">
      <c r="A104" s="5" t="s">
        <v>92</v>
      </c>
      <c r="B104" s="67">
        <v>98500718</v>
      </c>
      <c r="C104" s="4">
        <f>+B104/12</f>
        <v>8208393.166666667</v>
      </c>
      <c r="D104" s="90">
        <f>+C104</f>
        <v>8208393.166666667</v>
      </c>
      <c r="E104" s="4">
        <f>+D104</f>
        <v>8208393.166666667</v>
      </c>
      <c r="F104" s="4">
        <f t="shared" ref="F104:N105" si="56">+E104</f>
        <v>8208393.166666667</v>
      </c>
      <c r="G104" s="4">
        <f t="shared" si="56"/>
        <v>8208393.166666667</v>
      </c>
      <c r="H104" s="4">
        <f t="shared" si="56"/>
        <v>8208393.166666667</v>
      </c>
      <c r="I104" s="4">
        <f t="shared" si="56"/>
        <v>8208393.166666667</v>
      </c>
      <c r="J104" s="4">
        <f t="shared" si="56"/>
        <v>8208393.166666667</v>
      </c>
      <c r="K104" s="4">
        <f t="shared" si="56"/>
        <v>8208393.166666667</v>
      </c>
      <c r="L104" s="4">
        <f t="shared" si="56"/>
        <v>8208393.166666667</v>
      </c>
      <c r="M104" s="4">
        <f t="shared" si="56"/>
        <v>8208393.166666667</v>
      </c>
      <c r="N104" s="4">
        <f t="shared" si="56"/>
        <v>8208393.166666667</v>
      </c>
      <c r="O104" s="4">
        <f t="shared" si="23"/>
        <v>98500718.000000015</v>
      </c>
      <c r="P104" s="34">
        <f t="shared" si="33"/>
        <v>0</v>
      </c>
      <c r="Q104" s="40">
        <f t="shared" si="34"/>
        <v>0</v>
      </c>
      <c r="R104" s="38"/>
      <c r="S104" s="2"/>
      <c r="T104" s="2"/>
    </row>
    <row r="105" spans="1:20" x14ac:dyDescent="0.25">
      <c r="A105" s="5" t="s">
        <v>73</v>
      </c>
      <c r="B105" s="95">
        <v>6000000</v>
      </c>
      <c r="C105" s="4">
        <f>+B105/1/12</f>
        <v>500000</v>
      </c>
      <c r="D105" s="90">
        <f>+C105</f>
        <v>500000</v>
      </c>
      <c r="E105" s="4">
        <f t="shared" ref="E105:F105" si="57">+D105</f>
        <v>500000</v>
      </c>
      <c r="F105" s="4">
        <f t="shared" si="57"/>
        <v>500000</v>
      </c>
      <c r="G105" s="4">
        <f t="shared" si="56"/>
        <v>500000</v>
      </c>
      <c r="H105" s="4">
        <f t="shared" si="56"/>
        <v>500000</v>
      </c>
      <c r="I105" s="4">
        <f t="shared" si="56"/>
        <v>500000</v>
      </c>
      <c r="J105" s="4">
        <f t="shared" si="56"/>
        <v>500000</v>
      </c>
      <c r="K105" s="4">
        <f t="shared" si="56"/>
        <v>500000</v>
      </c>
      <c r="L105" s="4">
        <f t="shared" si="56"/>
        <v>500000</v>
      </c>
      <c r="M105" s="4">
        <f t="shared" si="56"/>
        <v>500000</v>
      </c>
      <c r="N105" s="4">
        <f t="shared" si="56"/>
        <v>500000</v>
      </c>
      <c r="O105" s="4">
        <f t="shared" si="23"/>
        <v>6000000</v>
      </c>
      <c r="P105" s="34">
        <f t="shared" si="33"/>
        <v>0</v>
      </c>
      <c r="Q105" s="40">
        <f t="shared" si="34"/>
        <v>0</v>
      </c>
      <c r="R105" s="38"/>
      <c r="S105" s="2"/>
      <c r="T105" s="2"/>
    </row>
    <row r="106" spans="1:20" x14ac:dyDescent="0.25">
      <c r="A106" s="5" t="s">
        <v>27</v>
      </c>
      <c r="B106" s="95">
        <v>3270000</v>
      </c>
      <c r="C106" s="74">
        <v>1090000</v>
      </c>
      <c r="D106" s="74">
        <v>0</v>
      </c>
      <c r="E106" s="74">
        <v>0</v>
      </c>
      <c r="F106" s="74">
        <v>0</v>
      </c>
      <c r="G106" s="74">
        <v>0</v>
      </c>
      <c r="H106" s="74">
        <v>1090000</v>
      </c>
      <c r="I106" s="74">
        <v>0</v>
      </c>
      <c r="J106" s="74">
        <v>0</v>
      </c>
      <c r="K106" s="74">
        <v>0</v>
      </c>
      <c r="L106" s="74">
        <v>1090000</v>
      </c>
      <c r="M106" s="74">
        <v>0</v>
      </c>
      <c r="N106" s="74">
        <v>0</v>
      </c>
      <c r="O106" s="4">
        <f t="shared" si="23"/>
        <v>3270000</v>
      </c>
      <c r="P106" s="34">
        <f t="shared" si="33"/>
        <v>0</v>
      </c>
      <c r="Q106" s="40">
        <f t="shared" si="34"/>
        <v>0</v>
      </c>
      <c r="R106" s="38"/>
      <c r="S106" s="2"/>
      <c r="T106" s="2"/>
    </row>
    <row r="107" spans="1:20" x14ac:dyDescent="0.25">
      <c r="A107" s="5" t="s">
        <v>74</v>
      </c>
      <c r="B107" s="95">
        <f>27000000-6000000</f>
        <v>21000000</v>
      </c>
      <c r="C107" s="74">
        <v>0</v>
      </c>
      <c r="D107" s="74">
        <v>0</v>
      </c>
      <c r="E107" s="74">
        <v>0</v>
      </c>
      <c r="F107" s="74">
        <v>0</v>
      </c>
      <c r="G107" s="74">
        <v>0</v>
      </c>
      <c r="H107" s="74">
        <v>3000000</v>
      </c>
      <c r="I107" s="74">
        <v>3000000</v>
      </c>
      <c r="J107" s="74">
        <v>3000000</v>
      </c>
      <c r="K107" s="74">
        <v>3000000</v>
      </c>
      <c r="L107" s="74">
        <v>3000000</v>
      </c>
      <c r="M107" s="74">
        <v>3000000</v>
      </c>
      <c r="N107" s="74">
        <v>3000000</v>
      </c>
      <c r="O107" s="4">
        <f t="shared" si="23"/>
        <v>21000000</v>
      </c>
      <c r="P107" s="34">
        <f t="shared" si="33"/>
        <v>0</v>
      </c>
      <c r="Q107" s="40">
        <f t="shared" si="34"/>
        <v>0</v>
      </c>
      <c r="R107" s="38"/>
      <c r="S107" s="2"/>
      <c r="T107" s="2"/>
    </row>
    <row r="108" spans="1:20" x14ac:dyDescent="0.25">
      <c r="A108" s="5" t="s">
        <v>28</v>
      </c>
      <c r="B108" s="95">
        <v>10064000</v>
      </c>
      <c r="C108" s="4">
        <v>0</v>
      </c>
      <c r="D108" s="4"/>
      <c r="E108" s="4"/>
      <c r="F108" s="4"/>
      <c r="G108" s="4"/>
      <c r="H108" s="4"/>
      <c r="I108" s="4"/>
      <c r="J108" s="4"/>
      <c r="K108" s="4"/>
      <c r="L108" s="4">
        <v>10064000</v>
      </c>
      <c r="M108" s="4"/>
      <c r="N108" s="4"/>
      <c r="O108" s="4">
        <f t="shared" si="23"/>
        <v>10064000</v>
      </c>
      <c r="P108" s="34">
        <f t="shared" si="33"/>
        <v>0</v>
      </c>
      <c r="Q108" s="40">
        <f t="shared" si="34"/>
        <v>0</v>
      </c>
      <c r="R108" s="38"/>
      <c r="S108" s="2"/>
      <c r="T108" s="2"/>
    </row>
    <row r="109" spans="1:20" x14ac:dyDescent="0.25">
      <c r="A109" s="5" t="s">
        <v>29</v>
      </c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>
        <f t="shared" si="23"/>
        <v>0</v>
      </c>
      <c r="P109" s="34">
        <f t="shared" si="33"/>
        <v>0</v>
      </c>
      <c r="Q109" s="40">
        <f t="shared" si="34"/>
        <v>0</v>
      </c>
      <c r="R109" s="38"/>
      <c r="S109" s="2"/>
      <c r="T109" s="2"/>
    </row>
    <row r="110" spans="1:20" x14ac:dyDescent="0.25">
      <c r="A110" s="5" t="s">
        <v>183</v>
      </c>
      <c r="B110" s="95">
        <v>36000000</v>
      </c>
      <c r="C110" s="74">
        <v>0</v>
      </c>
      <c r="D110" s="74">
        <v>0</v>
      </c>
      <c r="E110" s="74">
        <v>3500000</v>
      </c>
      <c r="F110" s="74">
        <v>3500000</v>
      </c>
      <c r="G110" s="74">
        <v>3500000</v>
      </c>
      <c r="H110" s="74">
        <v>3500000</v>
      </c>
      <c r="I110" s="74">
        <v>3500000</v>
      </c>
      <c r="J110" s="74">
        <v>3500000</v>
      </c>
      <c r="K110" s="74">
        <v>4500000</v>
      </c>
      <c r="L110" s="74">
        <v>3500000</v>
      </c>
      <c r="M110" s="74">
        <v>3500000</v>
      </c>
      <c r="N110" s="74">
        <v>3500000</v>
      </c>
      <c r="O110" s="4">
        <f t="shared" si="23"/>
        <v>36000000</v>
      </c>
      <c r="P110" s="34">
        <f t="shared" si="33"/>
        <v>0</v>
      </c>
      <c r="Q110" s="40">
        <f t="shared" si="34"/>
        <v>0</v>
      </c>
      <c r="R110" s="38"/>
      <c r="S110" s="2"/>
      <c r="T110" s="2"/>
    </row>
    <row r="111" spans="1:20" x14ac:dyDescent="0.25">
      <c r="A111" s="21" t="s">
        <v>150</v>
      </c>
      <c r="B111" s="95">
        <v>22036000</v>
      </c>
      <c r="C111" s="4"/>
      <c r="D111" s="4"/>
      <c r="E111" s="4"/>
      <c r="F111" s="4">
        <v>1150000</v>
      </c>
      <c r="G111" s="4"/>
      <c r="H111" s="4"/>
      <c r="I111" s="4"/>
      <c r="J111" s="4">
        <v>1150000</v>
      </c>
      <c r="K111" s="4"/>
      <c r="L111" s="4"/>
      <c r="M111" s="69">
        <v>9293000</v>
      </c>
      <c r="N111" s="4">
        <f>+M111+1150000</f>
        <v>10443000</v>
      </c>
      <c r="O111" s="4">
        <f t="shared" si="23"/>
        <v>22036000</v>
      </c>
      <c r="P111" s="34">
        <f t="shared" si="33"/>
        <v>0</v>
      </c>
      <c r="Q111" s="40">
        <f t="shared" si="34"/>
        <v>0</v>
      </c>
      <c r="R111" s="38"/>
      <c r="S111" s="2"/>
      <c r="T111" s="2"/>
    </row>
    <row r="112" spans="1:20" x14ac:dyDescent="0.25">
      <c r="A112" s="5" t="s">
        <v>82</v>
      </c>
      <c r="B112" s="95">
        <f>27264000+2000000</f>
        <v>29264000</v>
      </c>
      <c r="C112" s="4">
        <v>0</v>
      </c>
      <c r="D112" s="90">
        <v>2044000</v>
      </c>
      <c r="E112" s="4">
        <v>5000000</v>
      </c>
      <c r="F112" s="4">
        <v>2044000</v>
      </c>
      <c r="G112" s="4">
        <f>+[8]Resumennna!S326</f>
        <v>0</v>
      </c>
      <c r="H112" s="4">
        <f>5000000+2044000</f>
        <v>7044000</v>
      </c>
      <c r="I112" s="4">
        <f>+[8]Resumennna!U326</f>
        <v>0</v>
      </c>
      <c r="J112" s="4">
        <v>3044000</v>
      </c>
      <c r="K112" s="4">
        <f>+[8]Resumennna!W326</f>
        <v>0</v>
      </c>
      <c r="L112" s="4">
        <f>5000000+3044000</f>
        <v>8044000</v>
      </c>
      <c r="M112" s="4">
        <f>+[8]Resumennna!Y326</f>
        <v>0</v>
      </c>
      <c r="N112" s="4">
        <v>2044000</v>
      </c>
      <c r="O112" s="4">
        <f t="shared" si="23"/>
        <v>29264000</v>
      </c>
      <c r="P112" s="34">
        <f t="shared" si="33"/>
        <v>0</v>
      </c>
      <c r="Q112" s="40">
        <f t="shared" si="34"/>
        <v>0</v>
      </c>
      <c r="R112" s="38"/>
      <c r="S112" s="2"/>
      <c r="T112" s="2"/>
    </row>
    <row r="113" spans="1:20" hidden="1" x14ac:dyDescent="0.25">
      <c r="A113" s="5" t="s">
        <v>81</v>
      </c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>
        <f t="shared" si="23"/>
        <v>0</v>
      </c>
      <c r="P113" s="34">
        <f t="shared" si="33"/>
        <v>0</v>
      </c>
      <c r="Q113" s="40">
        <f t="shared" si="34"/>
        <v>0</v>
      </c>
      <c r="R113" s="38"/>
      <c r="S113" s="2"/>
      <c r="T113" s="2"/>
    </row>
    <row r="114" spans="1:20" x14ac:dyDescent="0.25">
      <c r="A114" s="68" t="s">
        <v>93</v>
      </c>
      <c r="B114" s="87">
        <f>18000000-3000000</f>
        <v>15000000</v>
      </c>
      <c r="C114" s="67">
        <v>1500000</v>
      </c>
      <c r="D114" s="90">
        <v>1500000</v>
      </c>
      <c r="E114" s="4">
        <f>+D114-300000</f>
        <v>1200000</v>
      </c>
      <c r="F114" s="4">
        <f t="shared" ref="F114:N114" si="58">+E114</f>
        <v>1200000</v>
      </c>
      <c r="G114" s="4">
        <f t="shared" si="58"/>
        <v>1200000</v>
      </c>
      <c r="H114" s="4">
        <f t="shared" si="58"/>
        <v>1200000</v>
      </c>
      <c r="I114" s="4">
        <f t="shared" si="58"/>
        <v>1200000</v>
      </c>
      <c r="J114" s="4">
        <f t="shared" si="58"/>
        <v>1200000</v>
      </c>
      <c r="K114" s="4">
        <f t="shared" si="58"/>
        <v>1200000</v>
      </c>
      <c r="L114" s="4">
        <f t="shared" si="58"/>
        <v>1200000</v>
      </c>
      <c r="M114" s="4">
        <f t="shared" si="58"/>
        <v>1200000</v>
      </c>
      <c r="N114" s="4">
        <f t="shared" si="58"/>
        <v>1200000</v>
      </c>
      <c r="O114" s="4">
        <f t="shared" si="23"/>
        <v>15000000</v>
      </c>
      <c r="P114" s="34">
        <f t="shared" si="33"/>
        <v>0</v>
      </c>
      <c r="Q114" s="40">
        <f t="shared" si="34"/>
        <v>0</v>
      </c>
      <c r="R114" s="38"/>
      <c r="S114" s="2"/>
      <c r="T114" s="2"/>
    </row>
    <row r="115" spans="1:20" x14ac:dyDescent="0.25">
      <c r="A115" s="5" t="s">
        <v>78</v>
      </c>
      <c r="B115" s="95">
        <v>3000000</v>
      </c>
      <c r="C115" s="4">
        <f>+B115/12</f>
        <v>250000</v>
      </c>
      <c r="D115" s="90">
        <f>+C115</f>
        <v>250000</v>
      </c>
      <c r="E115" s="4">
        <f t="shared" ref="E115:N115" si="59">+D115</f>
        <v>250000</v>
      </c>
      <c r="F115" s="4">
        <f t="shared" si="59"/>
        <v>250000</v>
      </c>
      <c r="G115" s="4">
        <f t="shared" si="59"/>
        <v>250000</v>
      </c>
      <c r="H115" s="4">
        <f t="shared" si="59"/>
        <v>250000</v>
      </c>
      <c r="I115" s="4">
        <f t="shared" si="59"/>
        <v>250000</v>
      </c>
      <c r="J115" s="4">
        <f t="shared" si="59"/>
        <v>250000</v>
      </c>
      <c r="K115" s="4">
        <f t="shared" si="59"/>
        <v>250000</v>
      </c>
      <c r="L115" s="4">
        <f t="shared" si="59"/>
        <v>250000</v>
      </c>
      <c r="M115" s="4">
        <f t="shared" si="59"/>
        <v>250000</v>
      </c>
      <c r="N115" s="4">
        <f t="shared" si="59"/>
        <v>250000</v>
      </c>
      <c r="O115" s="4">
        <f t="shared" si="23"/>
        <v>3000000</v>
      </c>
      <c r="P115" s="34">
        <f t="shared" si="33"/>
        <v>0</v>
      </c>
      <c r="Q115" s="40">
        <f t="shared" si="34"/>
        <v>0</v>
      </c>
      <c r="R115" s="38"/>
      <c r="S115" s="2"/>
      <c r="T115" s="2"/>
    </row>
    <row r="116" spans="1:20" ht="24" x14ac:dyDescent="0.25">
      <c r="A116" s="60" t="s">
        <v>148</v>
      </c>
      <c r="B116" s="95">
        <f>80000000-4000000</f>
        <v>76000000</v>
      </c>
      <c r="C116" s="4"/>
      <c r="D116" s="4"/>
      <c r="E116" s="4">
        <f>8000000-4000000</f>
        <v>4000000</v>
      </c>
      <c r="F116" s="4">
        <f>8000000</f>
        <v>8000000</v>
      </c>
      <c r="G116" s="4">
        <f t="shared" ref="G116:N116" si="60">8000000</f>
        <v>8000000</v>
      </c>
      <c r="H116" s="4">
        <f t="shared" si="60"/>
        <v>8000000</v>
      </c>
      <c r="I116" s="4">
        <f t="shared" si="60"/>
        <v>8000000</v>
      </c>
      <c r="J116" s="4">
        <f t="shared" si="60"/>
        <v>8000000</v>
      </c>
      <c r="K116" s="4">
        <f t="shared" si="60"/>
        <v>8000000</v>
      </c>
      <c r="L116" s="4">
        <f t="shared" si="60"/>
        <v>8000000</v>
      </c>
      <c r="M116" s="4">
        <f t="shared" si="60"/>
        <v>8000000</v>
      </c>
      <c r="N116" s="4">
        <f t="shared" si="60"/>
        <v>8000000</v>
      </c>
      <c r="O116" s="4">
        <f t="shared" si="23"/>
        <v>76000000</v>
      </c>
      <c r="P116" s="34">
        <f t="shared" si="33"/>
        <v>0</v>
      </c>
      <c r="Q116" s="40">
        <f t="shared" si="34"/>
        <v>0</v>
      </c>
      <c r="R116" s="38"/>
      <c r="S116" s="2"/>
      <c r="T116" s="2"/>
    </row>
    <row r="117" spans="1:20" ht="24" x14ac:dyDescent="0.25">
      <c r="A117" s="60" t="s">
        <v>149</v>
      </c>
      <c r="B117" s="95">
        <f>19000000-5000000</f>
        <v>14000000</v>
      </c>
      <c r="C117" s="4"/>
      <c r="D117" s="4"/>
      <c r="E117" s="4"/>
      <c r="F117" s="4"/>
      <c r="G117" s="4">
        <v>7000000</v>
      </c>
      <c r="H117" s="4"/>
      <c r="I117" s="4">
        <v>7000000</v>
      </c>
      <c r="J117" s="4"/>
      <c r="K117" s="4"/>
      <c r="L117" s="4"/>
      <c r="M117" s="4"/>
      <c r="N117" s="4"/>
      <c r="O117" s="4">
        <f t="shared" si="23"/>
        <v>14000000</v>
      </c>
      <c r="P117" s="34">
        <f t="shared" si="33"/>
        <v>0</v>
      </c>
      <c r="Q117" s="40">
        <f t="shared" si="34"/>
        <v>0</v>
      </c>
      <c r="R117" s="38"/>
      <c r="S117" s="2"/>
      <c r="T117" s="2"/>
    </row>
    <row r="118" spans="1:20" x14ac:dyDescent="0.25">
      <c r="A118" s="84" t="s">
        <v>170</v>
      </c>
      <c r="B118" s="87">
        <f>191160000-47790000</f>
        <v>143370000</v>
      </c>
      <c r="C118" s="67">
        <v>15930000</v>
      </c>
      <c r="D118" s="90">
        <v>15930000</v>
      </c>
      <c r="E118" s="4">
        <v>0</v>
      </c>
      <c r="F118" s="4">
        <f t="shared" ref="F118:N118" si="61">+E118</f>
        <v>0</v>
      </c>
      <c r="G118" s="4">
        <f t="shared" si="61"/>
        <v>0</v>
      </c>
      <c r="H118" s="4">
        <f>+D118</f>
        <v>15930000</v>
      </c>
      <c r="I118" s="4">
        <f t="shared" si="61"/>
        <v>15930000</v>
      </c>
      <c r="J118" s="4">
        <f t="shared" si="61"/>
        <v>15930000</v>
      </c>
      <c r="K118" s="4">
        <f t="shared" si="61"/>
        <v>15930000</v>
      </c>
      <c r="L118" s="4">
        <f t="shared" si="61"/>
        <v>15930000</v>
      </c>
      <c r="M118" s="4">
        <f t="shared" si="61"/>
        <v>15930000</v>
      </c>
      <c r="N118" s="4">
        <f t="shared" si="61"/>
        <v>15930000</v>
      </c>
      <c r="O118" s="4">
        <f t="shared" si="23"/>
        <v>143370000</v>
      </c>
      <c r="P118" s="34">
        <f t="shared" si="33"/>
        <v>0</v>
      </c>
      <c r="Q118" s="40">
        <f t="shared" si="34"/>
        <v>0</v>
      </c>
      <c r="R118" s="38"/>
      <c r="S118" s="2"/>
      <c r="T118" s="2"/>
    </row>
    <row r="119" spans="1:20" x14ac:dyDescent="0.25">
      <c r="A119" s="21" t="s">
        <v>187</v>
      </c>
      <c r="B119" s="95">
        <f>12500000-2500000</f>
        <v>10000000</v>
      </c>
      <c r="C119" s="4">
        <v>7000000</v>
      </c>
      <c r="D119" s="4">
        <f>+[8]Resumennna!P342</f>
        <v>0</v>
      </c>
      <c r="E119" s="4">
        <f>+[8]Resumennna!Q342</f>
        <v>0</v>
      </c>
      <c r="F119" s="4">
        <v>0</v>
      </c>
      <c r="G119" s="4">
        <f>+[8]Resumennna!S342</f>
        <v>0</v>
      </c>
      <c r="H119" s="4">
        <f>+[8]Resumennna!T342</f>
        <v>0</v>
      </c>
      <c r="I119" s="4">
        <v>0</v>
      </c>
      <c r="J119" s="4">
        <f>3500000-500000</f>
        <v>3000000</v>
      </c>
      <c r="K119" s="4">
        <f>+[8]Resumennna!W342</f>
        <v>0</v>
      </c>
      <c r="L119" s="4">
        <f>+[8]Resumennna!X342</f>
        <v>0</v>
      </c>
      <c r="M119" s="4">
        <f>+[8]Resumennna!Y342</f>
        <v>0</v>
      </c>
      <c r="N119" s="4">
        <f>+[8]Resumennna!Z342</f>
        <v>0</v>
      </c>
      <c r="O119" s="4">
        <f t="shared" si="23"/>
        <v>10000000</v>
      </c>
      <c r="P119" s="34">
        <f t="shared" si="33"/>
        <v>0</v>
      </c>
      <c r="Q119" s="40">
        <f t="shared" si="34"/>
        <v>0</v>
      </c>
      <c r="R119" s="38"/>
      <c r="S119" s="2"/>
      <c r="T119" s="2"/>
    </row>
    <row r="120" spans="1:20" x14ac:dyDescent="0.25">
      <c r="A120" s="84" t="s">
        <v>70</v>
      </c>
      <c r="B120" s="87">
        <f>72000000+17520000</f>
        <v>89520000</v>
      </c>
      <c r="C120" s="67">
        <v>6000000</v>
      </c>
      <c r="D120" s="90">
        <f>+C120</f>
        <v>6000000</v>
      </c>
      <c r="E120" s="4">
        <f>+D120+1752000</f>
        <v>7752000</v>
      </c>
      <c r="F120" s="4">
        <f t="shared" ref="F120:N120" si="62">+E120</f>
        <v>7752000</v>
      </c>
      <c r="G120" s="4">
        <f t="shared" si="62"/>
        <v>7752000</v>
      </c>
      <c r="H120" s="4">
        <f t="shared" si="62"/>
        <v>7752000</v>
      </c>
      <c r="I120" s="4">
        <f t="shared" si="62"/>
        <v>7752000</v>
      </c>
      <c r="J120" s="4">
        <f t="shared" si="62"/>
        <v>7752000</v>
      </c>
      <c r="K120" s="4">
        <f t="shared" si="62"/>
        <v>7752000</v>
      </c>
      <c r="L120" s="4">
        <f t="shared" si="62"/>
        <v>7752000</v>
      </c>
      <c r="M120" s="4">
        <f t="shared" si="62"/>
        <v>7752000</v>
      </c>
      <c r="N120" s="4">
        <f t="shared" si="62"/>
        <v>7752000</v>
      </c>
      <c r="O120" s="4">
        <f t="shared" si="23"/>
        <v>89520000</v>
      </c>
      <c r="P120" s="34">
        <f t="shared" si="33"/>
        <v>0</v>
      </c>
      <c r="Q120" s="40">
        <f t="shared" si="34"/>
        <v>0</v>
      </c>
      <c r="R120" s="38"/>
      <c r="S120" s="2"/>
      <c r="T120" s="2"/>
    </row>
    <row r="121" spans="1:20" x14ac:dyDescent="0.25">
      <c r="A121" s="21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>
        <f t="shared" si="23"/>
        <v>0</v>
      </c>
      <c r="P121" s="34"/>
      <c r="Q121" s="40">
        <f t="shared" si="34"/>
        <v>0</v>
      </c>
      <c r="R121" s="38"/>
      <c r="S121" s="2"/>
      <c r="T121" s="2"/>
    </row>
    <row r="122" spans="1:20" x14ac:dyDescent="0.25">
      <c r="A122" s="21" t="s">
        <v>171</v>
      </c>
      <c r="B122" s="95">
        <v>30000000</v>
      </c>
      <c r="C122" s="4"/>
      <c r="D122" s="4"/>
      <c r="E122" s="4"/>
      <c r="F122" s="70">
        <v>10000000</v>
      </c>
      <c r="G122" s="70">
        <v>0</v>
      </c>
      <c r="H122" s="70">
        <v>20000000</v>
      </c>
      <c r="I122" s="70">
        <v>0</v>
      </c>
      <c r="J122" s="69">
        <v>0</v>
      </c>
      <c r="K122" s="69">
        <v>0</v>
      </c>
      <c r="L122" s="69">
        <v>0</v>
      </c>
      <c r="M122" s="69">
        <v>0</v>
      </c>
      <c r="N122" s="69">
        <v>0</v>
      </c>
      <c r="O122" s="4">
        <f t="shared" si="23"/>
        <v>30000000</v>
      </c>
      <c r="P122" s="34">
        <f t="shared" si="33"/>
        <v>0</v>
      </c>
      <c r="Q122" s="40">
        <f t="shared" si="34"/>
        <v>0</v>
      </c>
      <c r="R122" s="38"/>
      <c r="S122" s="2"/>
      <c r="T122" s="2"/>
    </row>
    <row r="123" spans="1:20" x14ac:dyDescent="0.25">
      <c r="A123" s="21" t="s">
        <v>172</v>
      </c>
      <c r="B123" s="95">
        <f>24000000-9000000</f>
        <v>15000000</v>
      </c>
      <c r="C123" s="4"/>
      <c r="D123" s="4"/>
      <c r="E123" s="70">
        <v>0</v>
      </c>
      <c r="F123" s="70">
        <v>7500000</v>
      </c>
      <c r="G123" s="70">
        <v>0</v>
      </c>
      <c r="H123" s="70">
        <v>0</v>
      </c>
      <c r="I123" s="70">
        <v>0</v>
      </c>
      <c r="J123" s="69">
        <v>0</v>
      </c>
      <c r="K123" s="69">
        <v>0</v>
      </c>
      <c r="L123" s="69">
        <v>0</v>
      </c>
      <c r="M123" s="69">
        <f>+F123</f>
        <v>7500000</v>
      </c>
      <c r="N123" s="69">
        <v>0</v>
      </c>
      <c r="O123" s="4">
        <f t="shared" si="23"/>
        <v>15000000</v>
      </c>
      <c r="P123" s="34">
        <f t="shared" si="33"/>
        <v>0</v>
      </c>
      <c r="Q123" s="40">
        <f t="shared" si="34"/>
        <v>0</v>
      </c>
      <c r="R123" s="38"/>
      <c r="S123" s="2"/>
      <c r="T123" s="2"/>
    </row>
    <row r="124" spans="1:20" x14ac:dyDescent="0.25">
      <c r="A124" s="21" t="s">
        <v>173</v>
      </c>
      <c r="B124" s="95">
        <f>10000000-4500000</f>
        <v>5500000</v>
      </c>
      <c r="C124" s="4"/>
      <c r="D124" s="4"/>
      <c r="E124" s="70">
        <v>0</v>
      </c>
      <c r="F124" s="70">
        <v>0</v>
      </c>
      <c r="G124" s="70">
        <v>0</v>
      </c>
      <c r="H124" s="70">
        <v>0</v>
      </c>
      <c r="I124" s="70">
        <v>0</v>
      </c>
      <c r="J124" s="69">
        <v>0</v>
      </c>
      <c r="K124" s="69">
        <v>0</v>
      </c>
      <c r="L124" s="69">
        <v>0</v>
      </c>
      <c r="M124" s="69">
        <v>0</v>
      </c>
      <c r="N124" s="69">
        <f>5000000+500000</f>
        <v>5500000</v>
      </c>
      <c r="O124" s="4">
        <f t="shared" si="23"/>
        <v>5500000</v>
      </c>
      <c r="P124" s="34">
        <f t="shared" si="33"/>
        <v>0</v>
      </c>
      <c r="Q124" s="40">
        <f t="shared" si="34"/>
        <v>0</v>
      </c>
      <c r="R124" s="38"/>
      <c r="S124" s="2"/>
      <c r="T124" s="2"/>
    </row>
    <row r="125" spans="1:20" x14ac:dyDescent="0.25">
      <c r="A125" s="21" t="s">
        <v>174</v>
      </c>
      <c r="B125" s="95">
        <v>10000000</v>
      </c>
      <c r="C125" s="4"/>
      <c r="D125" s="4"/>
      <c r="E125" s="4"/>
      <c r="F125" s="4"/>
      <c r="G125" s="70">
        <v>10000000</v>
      </c>
      <c r="H125" s="70">
        <v>0</v>
      </c>
      <c r="I125" s="70">
        <v>0</v>
      </c>
      <c r="J125" s="4"/>
      <c r="K125" s="4"/>
      <c r="L125" s="4"/>
      <c r="M125" s="4"/>
      <c r="N125" s="4"/>
      <c r="O125" s="4">
        <f t="shared" si="23"/>
        <v>10000000</v>
      </c>
      <c r="P125" s="34">
        <f t="shared" si="33"/>
        <v>0</v>
      </c>
      <c r="Q125" s="40">
        <f t="shared" si="34"/>
        <v>0</v>
      </c>
      <c r="R125" s="38"/>
      <c r="S125" s="2"/>
      <c r="T125" s="2"/>
    </row>
    <row r="126" spans="1:20" x14ac:dyDescent="0.25">
      <c r="A126" s="21" t="s">
        <v>175</v>
      </c>
      <c r="B126" s="95">
        <v>10000000</v>
      </c>
      <c r="C126" s="4"/>
      <c r="D126" s="4"/>
      <c r="E126" s="4"/>
      <c r="F126" s="4"/>
      <c r="G126" s="70">
        <v>10000000</v>
      </c>
      <c r="H126" s="70">
        <v>0</v>
      </c>
      <c r="I126" s="70">
        <v>0</v>
      </c>
      <c r="J126" s="4"/>
      <c r="K126" s="4"/>
      <c r="L126" s="4"/>
      <c r="M126" s="4"/>
      <c r="N126" s="4"/>
      <c r="O126" s="4">
        <f t="shared" si="23"/>
        <v>10000000</v>
      </c>
      <c r="P126" s="34">
        <f t="shared" si="33"/>
        <v>0</v>
      </c>
      <c r="Q126" s="40">
        <f t="shared" si="34"/>
        <v>0</v>
      </c>
      <c r="R126" s="38"/>
      <c r="S126" s="2"/>
      <c r="T126" s="2"/>
    </row>
    <row r="127" spans="1:20" x14ac:dyDescent="0.25">
      <c r="A127" s="21" t="s">
        <v>176</v>
      </c>
      <c r="B127" s="95">
        <v>10000000</v>
      </c>
      <c r="C127" s="4"/>
      <c r="D127" s="4"/>
      <c r="E127" s="4"/>
      <c r="F127" s="4"/>
      <c r="G127" s="70">
        <v>10000000</v>
      </c>
      <c r="H127" s="70">
        <v>0</v>
      </c>
      <c r="I127" s="70">
        <v>0</v>
      </c>
      <c r="J127" s="4"/>
      <c r="K127" s="4"/>
      <c r="L127" s="4"/>
      <c r="M127" s="4"/>
      <c r="N127" s="4"/>
      <c r="O127" s="4">
        <f t="shared" si="23"/>
        <v>10000000</v>
      </c>
      <c r="P127" s="34">
        <f t="shared" si="33"/>
        <v>0</v>
      </c>
      <c r="Q127" s="40">
        <f t="shared" si="34"/>
        <v>0</v>
      </c>
      <c r="R127" s="38"/>
      <c r="S127" s="2"/>
      <c r="T127" s="2"/>
    </row>
    <row r="128" spans="1:20" x14ac:dyDescent="0.25">
      <c r="A128" s="21" t="s">
        <v>177</v>
      </c>
      <c r="B128" s="95">
        <v>20000000</v>
      </c>
      <c r="C128" s="4"/>
      <c r="D128" s="4"/>
      <c r="E128" s="4"/>
      <c r="F128" s="4"/>
      <c r="G128" s="70">
        <v>0</v>
      </c>
      <c r="H128" s="70">
        <v>0</v>
      </c>
      <c r="I128" s="70">
        <v>10000000</v>
      </c>
      <c r="J128" s="4"/>
      <c r="K128" s="4"/>
      <c r="L128" s="4"/>
      <c r="M128" s="4"/>
      <c r="N128" s="69">
        <v>10000000</v>
      </c>
      <c r="O128" s="4">
        <f t="shared" si="23"/>
        <v>20000000</v>
      </c>
      <c r="P128" s="34">
        <f t="shared" si="33"/>
        <v>0</v>
      </c>
      <c r="Q128" s="40">
        <f t="shared" si="34"/>
        <v>0</v>
      </c>
      <c r="R128" s="38"/>
      <c r="S128" s="2"/>
      <c r="T128" s="2"/>
    </row>
    <row r="129" spans="1:22" ht="30" x14ac:dyDescent="0.25">
      <c r="A129" s="21" t="s">
        <v>178</v>
      </c>
      <c r="B129" s="95">
        <v>1500000000</v>
      </c>
      <c r="C129" s="4"/>
      <c r="D129" s="4"/>
      <c r="E129" s="4"/>
      <c r="F129" s="4"/>
      <c r="G129" s="4"/>
      <c r="H129" s="4"/>
      <c r="I129" s="4"/>
      <c r="J129" s="4"/>
      <c r="K129" s="70">
        <v>1500000000</v>
      </c>
      <c r="L129" s="4"/>
      <c r="M129" s="4"/>
      <c r="N129" s="4"/>
      <c r="O129" s="4">
        <f t="shared" si="23"/>
        <v>1500000000</v>
      </c>
      <c r="P129" s="34">
        <f t="shared" si="33"/>
        <v>0</v>
      </c>
      <c r="Q129" s="40">
        <f t="shared" si="34"/>
        <v>0</v>
      </c>
      <c r="R129" s="38"/>
      <c r="S129" s="2"/>
      <c r="T129" s="2"/>
    </row>
    <row r="130" spans="1:22" ht="30" x14ac:dyDescent="0.25">
      <c r="A130" s="21" t="s">
        <v>179</v>
      </c>
      <c r="B130" s="95">
        <v>9000000</v>
      </c>
      <c r="C130" s="4"/>
      <c r="D130" s="90">
        <v>6000000</v>
      </c>
      <c r="E130" s="4"/>
      <c r="F130" s="4"/>
      <c r="G130" s="4"/>
      <c r="H130" s="4"/>
      <c r="I130" s="4"/>
      <c r="J130" s="4"/>
      <c r="K130" s="4">
        <v>3000000</v>
      </c>
      <c r="L130" s="4"/>
      <c r="M130" s="4"/>
      <c r="N130" s="4"/>
      <c r="O130" s="4">
        <f t="shared" si="23"/>
        <v>9000000</v>
      </c>
      <c r="P130" s="34">
        <f t="shared" si="33"/>
        <v>0</v>
      </c>
      <c r="Q130" s="40">
        <f t="shared" si="34"/>
        <v>0</v>
      </c>
      <c r="R130" s="38"/>
      <c r="S130" s="2"/>
      <c r="T130" s="2"/>
    </row>
    <row r="131" spans="1:22" x14ac:dyDescent="0.25">
      <c r="A131" s="21" t="s">
        <v>33</v>
      </c>
      <c r="B131" s="95">
        <v>9825000</v>
      </c>
      <c r="C131" s="4">
        <v>0</v>
      </c>
      <c r="D131" s="4">
        <v>0</v>
      </c>
      <c r="E131" s="4">
        <v>982500</v>
      </c>
      <c r="F131" s="4">
        <f>+E131</f>
        <v>982500</v>
      </c>
      <c r="G131" s="4">
        <f t="shared" ref="G131:N131" si="63">+F131</f>
        <v>982500</v>
      </c>
      <c r="H131" s="4">
        <f t="shared" si="63"/>
        <v>982500</v>
      </c>
      <c r="I131" s="4">
        <f t="shared" si="63"/>
        <v>982500</v>
      </c>
      <c r="J131" s="4">
        <f t="shared" si="63"/>
        <v>982500</v>
      </c>
      <c r="K131" s="4">
        <f t="shared" si="63"/>
        <v>982500</v>
      </c>
      <c r="L131" s="4">
        <f t="shared" si="63"/>
        <v>982500</v>
      </c>
      <c r="M131" s="4">
        <f t="shared" si="63"/>
        <v>982500</v>
      </c>
      <c r="N131" s="4">
        <f t="shared" si="63"/>
        <v>982500</v>
      </c>
      <c r="O131" s="4">
        <f t="shared" si="23"/>
        <v>9825000</v>
      </c>
      <c r="P131" s="34">
        <f t="shared" si="33"/>
        <v>0</v>
      </c>
      <c r="Q131" s="40">
        <f t="shared" si="34"/>
        <v>0</v>
      </c>
      <c r="R131" s="38"/>
      <c r="S131" s="2"/>
      <c r="T131" s="2"/>
    </row>
    <row r="132" spans="1:22" x14ac:dyDescent="0.25">
      <c r="A132" s="84" t="s">
        <v>75</v>
      </c>
      <c r="B132" s="87">
        <f>16000000-400000</f>
        <v>15600000</v>
      </c>
      <c r="C132" s="67">
        <v>0</v>
      </c>
      <c r="D132" s="4">
        <f>+[8]Resumennna!P311</f>
        <v>0</v>
      </c>
      <c r="E132" s="4">
        <f>+[8]Resumennna!Q311</f>
        <v>0</v>
      </c>
      <c r="F132" s="4">
        <f>+[8]Resumennna!R311</f>
        <v>0</v>
      </c>
      <c r="G132" s="69">
        <f>2000000-400000</f>
        <v>1600000</v>
      </c>
      <c r="H132" s="69">
        <v>2000000</v>
      </c>
      <c r="I132" s="69">
        <v>2000000</v>
      </c>
      <c r="J132" s="69">
        <v>2000000</v>
      </c>
      <c r="K132" s="69">
        <v>2000000</v>
      </c>
      <c r="L132" s="69">
        <v>2000000</v>
      </c>
      <c r="M132" s="69">
        <v>2000000</v>
      </c>
      <c r="N132" s="69">
        <v>2000000</v>
      </c>
      <c r="O132" s="4">
        <f t="shared" si="23"/>
        <v>15600000</v>
      </c>
      <c r="P132" s="34">
        <f t="shared" si="33"/>
        <v>0</v>
      </c>
      <c r="Q132" s="40">
        <f t="shared" si="34"/>
        <v>0</v>
      </c>
      <c r="R132" s="38"/>
      <c r="S132" s="2"/>
      <c r="T132" s="2"/>
    </row>
    <row r="133" spans="1:22" x14ac:dyDescent="0.25">
      <c r="A133" s="21" t="s">
        <v>68</v>
      </c>
      <c r="B133" s="95">
        <v>48000000</v>
      </c>
      <c r="C133" s="4">
        <f>+B133/12</f>
        <v>4000000</v>
      </c>
      <c r="D133" s="90">
        <f>+C133</f>
        <v>4000000</v>
      </c>
      <c r="E133" s="4">
        <f t="shared" ref="E133:N133" si="64">+D133</f>
        <v>4000000</v>
      </c>
      <c r="F133" s="4">
        <f t="shared" si="64"/>
        <v>4000000</v>
      </c>
      <c r="G133" s="4">
        <f t="shared" si="64"/>
        <v>4000000</v>
      </c>
      <c r="H133" s="4">
        <f t="shared" si="64"/>
        <v>4000000</v>
      </c>
      <c r="I133" s="4">
        <f t="shared" si="64"/>
        <v>4000000</v>
      </c>
      <c r="J133" s="4">
        <f t="shared" si="64"/>
        <v>4000000</v>
      </c>
      <c r="K133" s="4">
        <f t="shared" si="64"/>
        <v>4000000</v>
      </c>
      <c r="L133" s="4">
        <f t="shared" si="64"/>
        <v>4000000</v>
      </c>
      <c r="M133" s="4">
        <f t="shared" si="64"/>
        <v>4000000</v>
      </c>
      <c r="N133" s="4">
        <f t="shared" si="64"/>
        <v>4000000</v>
      </c>
      <c r="O133" s="4">
        <f t="shared" si="23"/>
        <v>48000000</v>
      </c>
      <c r="P133" s="34">
        <f t="shared" si="33"/>
        <v>0</v>
      </c>
      <c r="Q133" s="40">
        <f t="shared" si="34"/>
        <v>0</v>
      </c>
      <c r="R133" s="38"/>
      <c r="S133" s="2"/>
      <c r="T133" s="2"/>
    </row>
    <row r="134" spans="1:22" x14ac:dyDescent="0.25">
      <c r="A134" s="21" t="s">
        <v>86</v>
      </c>
      <c r="B134" s="95">
        <v>39052465</v>
      </c>
      <c r="C134" s="4">
        <f>+B134/12</f>
        <v>3254372.0833333335</v>
      </c>
      <c r="D134" s="90">
        <f>+C134</f>
        <v>3254372.0833333335</v>
      </c>
      <c r="E134" s="4">
        <f t="shared" ref="E134:N134" si="65">+D134</f>
        <v>3254372.0833333335</v>
      </c>
      <c r="F134" s="4">
        <f t="shared" si="65"/>
        <v>3254372.0833333335</v>
      </c>
      <c r="G134" s="4">
        <f t="shared" si="65"/>
        <v>3254372.0833333335</v>
      </c>
      <c r="H134" s="4">
        <f t="shared" si="65"/>
        <v>3254372.0833333335</v>
      </c>
      <c r="I134" s="4">
        <f t="shared" si="65"/>
        <v>3254372.0833333335</v>
      </c>
      <c r="J134" s="4">
        <f t="shared" si="65"/>
        <v>3254372.0833333335</v>
      </c>
      <c r="K134" s="4">
        <f t="shared" si="65"/>
        <v>3254372.0833333335</v>
      </c>
      <c r="L134" s="4">
        <f t="shared" si="65"/>
        <v>3254372.0833333335</v>
      </c>
      <c r="M134" s="4">
        <f t="shared" si="65"/>
        <v>3254372.0833333335</v>
      </c>
      <c r="N134" s="4">
        <f t="shared" si="65"/>
        <v>3254372.0833333335</v>
      </c>
      <c r="O134" s="4">
        <f t="shared" si="23"/>
        <v>39052465</v>
      </c>
      <c r="P134" s="34">
        <f t="shared" ref="P134:P155" si="66">+O134-B134</f>
        <v>0</v>
      </c>
      <c r="Q134" s="40">
        <f t="shared" si="34"/>
        <v>0</v>
      </c>
      <c r="R134" s="38"/>
      <c r="S134" s="2"/>
      <c r="T134" s="2"/>
    </row>
    <row r="135" spans="1:22" x14ac:dyDescent="0.25">
      <c r="A135" s="84" t="s">
        <v>108</v>
      </c>
      <c r="B135" s="87">
        <f>42000000-22000000</f>
        <v>20000000</v>
      </c>
      <c r="C135" s="67">
        <v>3500000</v>
      </c>
      <c r="D135" s="88">
        <v>3500000</v>
      </c>
      <c r="E135" s="4">
        <v>0</v>
      </c>
      <c r="F135" s="4">
        <f t="shared" ref="F135:M135" si="67">+E135</f>
        <v>0</v>
      </c>
      <c r="G135" s="4">
        <f t="shared" si="67"/>
        <v>0</v>
      </c>
      <c r="H135" s="4">
        <v>0</v>
      </c>
      <c r="I135" s="4">
        <v>0</v>
      </c>
      <c r="J135" s="4">
        <v>0</v>
      </c>
      <c r="K135" s="4">
        <f>+D135-500000</f>
        <v>3000000</v>
      </c>
      <c r="L135" s="4">
        <f>+K135+500000</f>
        <v>3500000</v>
      </c>
      <c r="M135" s="4">
        <f t="shared" si="67"/>
        <v>3500000</v>
      </c>
      <c r="N135" s="4">
        <f>+M135-500000</f>
        <v>3000000</v>
      </c>
      <c r="O135" s="4">
        <f t="shared" si="23"/>
        <v>20000000</v>
      </c>
      <c r="P135" s="34">
        <f t="shared" si="66"/>
        <v>0</v>
      </c>
      <c r="Q135" s="40">
        <f t="shared" ref="Q135:Q144" si="68">SUM(C135:N135)-O135</f>
        <v>0</v>
      </c>
      <c r="R135" s="38"/>
      <c r="S135" s="2"/>
      <c r="T135" s="2"/>
    </row>
    <row r="136" spans="1:22" x14ac:dyDescent="0.25">
      <c r="A136" s="5" t="s">
        <v>76</v>
      </c>
      <c r="B136" s="95">
        <v>9000000</v>
      </c>
      <c r="C136" s="4">
        <v>0</v>
      </c>
      <c r="D136" s="91">
        <v>6000000</v>
      </c>
      <c r="E136" s="71">
        <v>0</v>
      </c>
      <c r="F136" s="71">
        <v>0</v>
      </c>
      <c r="G136" s="71">
        <v>0</v>
      </c>
      <c r="H136" s="71">
        <v>0</v>
      </c>
      <c r="I136" s="72">
        <v>0</v>
      </c>
      <c r="J136" s="73">
        <v>0</v>
      </c>
      <c r="K136" s="73">
        <v>3000000</v>
      </c>
      <c r="L136" s="73">
        <v>0</v>
      </c>
      <c r="M136" s="4">
        <f>+[8]Resumennna!Y343</f>
        <v>0</v>
      </c>
      <c r="N136" s="4">
        <f>+[8]Resumennna!Z343</f>
        <v>0</v>
      </c>
      <c r="O136" s="4">
        <f t="shared" si="23"/>
        <v>9000000</v>
      </c>
      <c r="P136" s="34">
        <f t="shared" si="66"/>
        <v>0</v>
      </c>
      <c r="Q136" s="40">
        <f t="shared" si="68"/>
        <v>0</v>
      </c>
      <c r="R136" s="38"/>
      <c r="S136" s="2"/>
      <c r="T136" s="2"/>
    </row>
    <row r="137" spans="1:22" x14ac:dyDescent="0.25">
      <c r="A137" s="5" t="s">
        <v>61</v>
      </c>
      <c r="B137" s="95">
        <v>10000000</v>
      </c>
      <c r="C137" s="4">
        <v>0</v>
      </c>
      <c r="D137" s="4">
        <f>+[8]Resumennna!P318</f>
        <v>0</v>
      </c>
      <c r="E137" s="4">
        <v>0</v>
      </c>
      <c r="F137" s="4">
        <f>+[8]Resumennna!R318</f>
        <v>0</v>
      </c>
      <c r="G137" s="4">
        <f>+[8]Resumennna!S318</f>
        <v>0</v>
      </c>
      <c r="H137" s="4">
        <f>+[8]Resumennna!T318</f>
        <v>0</v>
      </c>
      <c r="I137" s="4">
        <v>0</v>
      </c>
      <c r="J137" s="4">
        <v>5000000</v>
      </c>
      <c r="K137" s="4">
        <f>+[8]Resumennna!W318</f>
        <v>0</v>
      </c>
      <c r="L137" s="4">
        <f>+[8]Resumennna!X318</f>
        <v>0</v>
      </c>
      <c r="M137" s="4">
        <v>5000000</v>
      </c>
      <c r="N137" s="4">
        <f>+[8]Resumennna!Z318</f>
        <v>0</v>
      </c>
      <c r="O137" s="4">
        <f t="shared" si="23"/>
        <v>10000000</v>
      </c>
      <c r="P137" s="34">
        <f t="shared" si="66"/>
        <v>0</v>
      </c>
      <c r="Q137" s="40">
        <f t="shared" si="68"/>
        <v>0</v>
      </c>
      <c r="R137" s="38"/>
      <c r="S137" s="2"/>
      <c r="T137" s="2"/>
    </row>
    <row r="138" spans="1:22" x14ac:dyDescent="0.25">
      <c r="A138" s="5" t="s">
        <v>147</v>
      </c>
      <c r="B138" s="95">
        <v>137548000</v>
      </c>
      <c r="C138" s="4">
        <v>8200000</v>
      </c>
      <c r="D138" s="90">
        <f>+C138</f>
        <v>8200000</v>
      </c>
      <c r="E138" s="4">
        <f>+D138+19574000</f>
        <v>27774000</v>
      </c>
      <c r="F138" s="4">
        <f>+D138</f>
        <v>8200000</v>
      </c>
      <c r="G138" s="4">
        <f t="shared" ref="G138:N138" si="69">+F138</f>
        <v>8200000</v>
      </c>
      <c r="H138" s="4">
        <f t="shared" si="69"/>
        <v>8200000</v>
      </c>
      <c r="I138" s="4">
        <f t="shared" si="69"/>
        <v>8200000</v>
      </c>
      <c r="J138" s="4">
        <f>+I138+19574000</f>
        <v>27774000</v>
      </c>
      <c r="K138" s="4">
        <f>+I138</f>
        <v>8200000</v>
      </c>
      <c r="L138" s="4">
        <f t="shared" si="69"/>
        <v>8200000</v>
      </c>
      <c r="M138" s="4">
        <f t="shared" si="69"/>
        <v>8200000</v>
      </c>
      <c r="N138" s="4">
        <f t="shared" si="69"/>
        <v>8200000</v>
      </c>
      <c r="O138" s="4">
        <f t="shared" si="23"/>
        <v>137548000</v>
      </c>
      <c r="P138" s="34">
        <f t="shared" si="66"/>
        <v>0</v>
      </c>
      <c r="Q138" s="40">
        <f t="shared" si="68"/>
        <v>0</v>
      </c>
      <c r="R138" s="38"/>
      <c r="S138" s="2"/>
      <c r="T138" s="2"/>
    </row>
    <row r="139" spans="1:22" x14ac:dyDescent="0.25">
      <c r="A139" s="5" t="s">
        <v>83</v>
      </c>
      <c r="B139" s="95">
        <v>6000000</v>
      </c>
      <c r="C139" s="4">
        <f>+B139/12</f>
        <v>500000</v>
      </c>
      <c r="D139" s="90">
        <f>+C139</f>
        <v>500000</v>
      </c>
      <c r="E139" s="4">
        <f t="shared" ref="E139:N139" si="70">+D139</f>
        <v>500000</v>
      </c>
      <c r="F139" s="4">
        <f t="shared" si="70"/>
        <v>500000</v>
      </c>
      <c r="G139" s="4">
        <f t="shared" si="70"/>
        <v>500000</v>
      </c>
      <c r="H139" s="4">
        <f t="shared" si="70"/>
        <v>500000</v>
      </c>
      <c r="I139" s="4">
        <f t="shared" si="70"/>
        <v>500000</v>
      </c>
      <c r="J139" s="4">
        <f t="shared" si="70"/>
        <v>500000</v>
      </c>
      <c r="K139" s="4">
        <f t="shared" si="70"/>
        <v>500000</v>
      </c>
      <c r="L139" s="4">
        <f t="shared" si="70"/>
        <v>500000</v>
      </c>
      <c r="M139" s="4">
        <f t="shared" si="70"/>
        <v>500000</v>
      </c>
      <c r="N139" s="4">
        <f t="shared" si="70"/>
        <v>500000</v>
      </c>
      <c r="O139" s="4">
        <f t="shared" si="23"/>
        <v>6000000</v>
      </c>
      <c r="P139" s="34">
        <f t="shared" si="66"/>
        <v>0</v>
      </c>
      <c r="Q139" s="40">
        <f t="shared" si="68"/>
        <v>0</v>
      </c>
      <c r="R139" s="38"/>
      <c r="S139" s="2"/>
      <c r="T139" s="2"/>
    </row>
    <row r="140" spans="1:22" x14ac:dyDescent="0.25">
      <c r="A140" s="5" t="s">
        <v>56</v>
      </c>
      <c r="B140" s="95">
        <v>18100000</v>
      </c>
      <c r="C140" s="4">
        <f>+B140/12</f>
        <v>1508333.3333333333</v>
      </c>
      <c r="D140" s="90">
        <f>+C140</f>
        <v>1508333.3333333333</v>
      </c>
      <c r="E140" s="4">
        <f t="shared" ref="E140:N140" si="71">+D140</f>
        <v>1508333.3333333333</v>
      </c>
      <c r="F140" s="4">
        <f t="shared" si="71"/>
        <v>1508333.3333333333</v>
      </c>
      <c r="G140" s="4">
        <f t="shared" si="71"/>
        <v>1508333.3333333333</v>
      </c>
      <c r="H140" s="4">
        <f t="shared" si="71"/>
        <v>1508333.3333333333</v>
      </c>
      <c r="I140" s="4">
        <f t="shared" si="71"/>
        <v>1508333.3333333333</v>
      </c>
      <c r="J140" s="4">
        <f t="shared" si="71"/>
        <v>1508333.3333333333</v>
      </c>
      <c r="K140" s="4">
        <f t="shared" si="71"/>
        <v>1508333.3333333333</v>
      </c>
      <c r="L140" s="4">
        <f t="shared" si="71"/>
        <v>1508333.3333333333</v>
      </c>
      <c r="M140" s="4">
        <f t="shared" si="71"/>
        <v>1508333.3333333333</v>
      </c>
      <c r="N140" s="4">
        <f t="shared" si="71"/>
        <v>1508333.3333333333</v>
      </c>
      <c r="O140" s="4">
        <f t="shared" si="23"/>
        <v>18100000.000000004</v>
      </c>
      <c r="P140" s="34">
        <f t="shared" si="66"/>
        <v>0</v>
      </c>
      <c r="Q140" s="40">
        <f t="shared" si="68"/>
        <v>0</v>
      </c>
      <c r="R140" s="38"/>
      <c r="S140" s="2"/>
      <c r="T140" s="2"/>
    </row>
    <row r="141" spans="1:22" x14ac:dyDescent="0.25">
      <c r="A141" s="5" t="s">
        <v>38</v>
      </c>
      <c r="B141" s="95">
        <v>29568000</v>
      </c>
      <c r="C141" s="4">
        <f>+B141/12</f>
        <v>2464000</v>
      </c>
      <c r="D141" s="90">
        <f>+C141</f>
        <v>2464000</v>
      </c>
      <c r="E141" s="4">
        <f>+D141</f>
        <v>2464000</v>
      </c>
      <c r="F141" s="4">
        <f t="shared" ref="F141:N142" si="72">+E141</f>
        <v>2464000</v>
      </c>
      <c r="G141" s="4">
        <f t="shared" si="72"/>
        <v>2464000</v>
      </c>
      <c r="H141" s="4">
        <f t="shared" si="72"/>
        <v>2464000</v>
      </c>
      <c r="I141" s="4">
        <f t="shared" si="72"/>
        <v>2464000</v>
      </c>
      <c r="J141" s="4">
        <f t="shared" si="72"/>
        <v>2464000</v>
      </c>
      <c r="K141" s="4">
        <f t="shared" si="72"/>
        <v>2464000</v>
      </c>
      <c r="L141" s="4">
        <f t="shared" si="72"/>
        <v>2464000</v>
      </c>
      <c r="M141" s="4">
        <f t="shared" si="72"/>
        <v>2464000</v>
      </c>
      <c r="N141" s="4">
        <f t="shared" si="72"/>
        <v>2464000</v>
      </c>
      <c r="O141" s="4">
        <f t="shared" si="23"/>
        <v>29568000</v>
      </c>
      <c r="P141" s="34">
        <f t="shared" si="66"/>
        <v>0</v>
      </c>
      <c r="Q141" s="40">
        <f t="shared" si="68"/>
        <v>0</v>
      </c>
      <c r="R141" s="38"/>
      <c r="S141" s="2"/>
      <c r="T141" s="2"/>
    </row>
    <row r="142" spans="1:22" x14ac:dyDescent="0.25">
      <c r="A142" s="5" t="s">
        <v>39</v>
      </c>
      <c r="B142" s="95">
        <f>764736000-542736000</f>
        <v>222000000</v>
      </c>
      <c r="C142" s="4">
        <v>63728000</v>
      </c>
      <c r="D142" s="87">
        <f>+C142</f>
        <v>63728000</v>
      </c>
      <c r="E142" s="4">
        <f>+D142-48128000-5645600-500000</f>
        <v>9454400</v>
      </c>
      <c r="F142" s="4">
        <f>+E142</f>
        <v>9454400</v>
      </c>
      <c r="G142" s="4">
        <f t="shared" si="72"/>
        <v>9454400</v>
      </c>
      <c r="H142" s="4">
        <f t="shared" si="72"/>
        <v>9454400</v>
      </c>
      <c r="I142" s="4">
        <f t="shared" si="72"/>
        <v>9454400</v>
      </c>
      <c r="J142" s="4">
        <f t="shared" si="72"/>
        <v>9454400</v>
      </c>
      <c r="K142" s="4">
        <f t="shared" si="72"/>
        <v>9454400</v>
      </c>
      <c r="L142" s="4">
        <f t="shared" si="72"/>
        <v>9454400</v>
      </c>
      <c r="M142" s="4">
        <f t="shared" si="72"/>
        <v>9454400</v>
      </c>
      <c r="N142" s="4">
        <f t="shared" si="72"/>
        <v>9454400</v>
      </c>
      <c r="O142" s="4">
        <f>SUM(C142:N142)</f>
        <v>222000000</v>
      </c>
      <c r="P142" s="34">
        <f t="shared" si="66"/>
        <v>0</v>
      </c>
      <c r="Q142" s="40">
        <f t="shared" si="68"/>
        <v>0</v>
      </c>
      <c r="R142" s="38"/>
      <c r="S142" s="2"/>
      <c r="T142" s="2"/>
    </row>
    <row r="143" spans="1:22" x14ac:dyDescent="0.25">
      <c r="A143" s="12" t="s">
        <v>53</v>
      </c>
      <c r="B143" s="8">
        <f t="shared" ref="B143:O143" si="73">SUM(B81:B142)</f>
        <v>4176837988.7873907</v>
      </c>
      <c r="C143" s="8">
        <f t="shared" si="73"/>
        <v>210216582.39894927</v>
      </c>
      <c r="D143" s="8">
        <f t="shared" si="73"/>
        <v>229170582.39894927</v>
      </c>
      <c r="E143" s="8">
        <f t="shared" si="73"/>
        <v>214674982.39894927</v>
      </c>
      <c r="F143" s="8">
        <f t="shared" si="73"/>
        <v>166913782.39894927</v>
      </c>
      <c r="G143" s="8">
        <f t="shared" si="73"/>
        <v>212448582.39894927</v>
      </c>
      <c r="H143" s="8">
        <f t="shared" si="73"/>
        <v>234068982.39894927</v>
      </c>
      <c r="I143" s="8">
        <f t="shared" si="73"/>
        <v>207149782.39894927</v>
      </c>
      <c r="J143" s="8">
        <f t="shared" si="73"/>
        <v>226518982.39894927</v>
      </c>
      <c r="K143" s="8">
        <f t="shared" si="73"/>
        <v>1744699782.3989491</v>
      </c>
      <c r="L143" s="8">
        <f t="shared" si="73"/>
        <v>275713982.39894927</v>
      </c>
      <c r="M143" s="8">
        <f t="shared" si="73"/>
        <v>214908982.39894927</v>
      </c>
      <c r="N143" s="8">
        <f t="shared" si="73"/>
        <v>240352982.39894927</v>
      </c>
      <c r="O143" s="8">
        <f t="shared" si="73"/>
        <v>4176837988.7873907</v>
      </c>
      <c r="P143" s="34">
        <f t="shared" si="66"/>
        <v>0</v>
      </c>
      <c r="Q143" s="40">
        <f t="shared" si="68"/>
        <v>0</v>
      </c>
      <c r="R143" s="39"/>
      <c r="S143" s="2"/>
      <c r="T143" s="2"/>
      <c r="V143" s="2"/>
    </row>
    <row r="144" spans="1:22" s="1" customFormat="1" x14ac:dyDescent="0.25">
      <c r="A144" s="12" t="s">
        <v>62</v>
      </c>
      <c r="B144" s="15">
        <f t="shared" ref="B144:O144" si="74">+B143+B80+B48</f>
        <v>9939582392.7940598</v>
      </c>
      <c r="C144" s="15">
        <f t="shared" si="74"/>
        <v>594304604.70405233</v>
      </c>
      <c r="D144" s="15">
        <f t="shared" si="74"/>
        <v>689168746.70405233</v>
      </c>
      <c r="E144" s="15">
        <f t="shared" si="74"/>
        <v>542801797.82305241</v>
      </c>
      <c r="F144" s="15">
        <f t="shared" si="74"/>
        <v>491433931.82305241</v>
      </c>
      <c r="G144" s="15">
        <f t="shared" si="74"/>
        <v>578845689.82305241</v>
      </c>
      <c r="H144" s="15">
        <f t="shared" si="74"/>
        <v>580891941.06305242</v>
      </c>
      <c r="I144" s="15">
        <f t="shared" si="74"/>
        <v>566420064.13305235</v>
      </c>
      <c r="J144" s="15">
        <f t="shared" si="74"/>
        <v>564489264.13305235</v>
      </c>
      <c r="K144" s="15">
        <f t="shared" si="74"/>
        <v>3357470064.1330519</v>
      </c>
      <c r="L144" s="15">
        <f t="shared" si="74"/>
        <v>661163018.13305235</v>
      </c>
      <c r="M144" s="15">
        <f t="shared" si="74"/>
        <v>611173892.70405233</v>
      </c>
      <c r="N144" s="15">
        <f t="shared" si="74"/>
        <v>701419377.62405229</v>
      </c>
      <c r="O144" s="15">
        <f t="shared" si="74"/>
        <v>9939582392.8006268</v>
      </c>
      <c r="P144" s="34">
        <f t="shared" si="66"/>
        <v>6.5670013427734375E-3</v>
      </c>
      <c r="Q144" s="40">
        <f t="shared" si="68"/>
        <v>0</v>
      </c>
      <c r="R144" s="40"/>
      <c r="S144" s="2"/>
      <c r="T144" s="2"/>
    </row>
    <row r="145" spans="1:23" ht="19.5" thickBot="1" x14ac:dyDescent="0.3">
      <c r="A145" s="13" t="s">
        <v>0</v>
      </c>
      <c r="B145" s="9">
        <f t="shared" ref="B145:O145" si="75">+B14-B144</f>
        <v>2.460479736328125E-4</v>
      </c>
      <c r="C145" s="9">
        <f t="shared" si="75"/>
        <v>-418782888.01425302</v>
      </c>
      <c r="D145" s="9">
        <f t="shared" si="75"/>
        <v>-507158459.13425303</v>
      </c>
      <c r="E145" s="9">
        <f t="shared" si="75"/>
        <v>2145697060.6267471</v>
      </c>
      <c r="F145" s="9">
        <f t="shared" si="75"/>
        <v>-296446502.49325311</v>
      </c>
      <c r="G145" s="9">
        <f t="shared" si="75"/>
        <v>-377369689.61325312</v>
      </c>
      <c r="H145" s="9">
        <f t="shared" si="75"/>
        <v>-372927369.97325313</v>
      </c>
      <c r="I145" s="9">
        <f t="shared" si="75"/>
        <v>4611390284.8367462</v>
      </c>
      <c r="J145" s="9">
        <f t="shared" si="75"/>
        <v>-342226627.99642217</v>
      </c>
      <c r="K145" s="9">
        <f t="shared" si="75"/>
        <v>-3135207427.9964218</v>
      </c>
      <c r="L145" s="9">
        <f t="shared" si="75"/>
        <v>-438900381.99642217</v>
      </c>
      <c r="M145" s="9">
        <f t="shared" si="75"/>
        <v>-388911256.56742215</v>
      </c>
      <c r="N145" s="9">
        <f t="shared" si="75"/>
        <v>-479156741.48742211</v>
      </c>
      <c r="O145" s="9">
        <f t="shared" si="75"/>
        <v>0.19112014770507813</v>
      </c>
      <c r="P145" s="34">
        <f t="shared" si="66"/>
        <v>0.19087409973144531</v>
      </c>
      <c r="Q145" s="41"/>
      <c r="R145" s="41"/>
      <c r="S145" s="2"/>
      <c r="T145" s="2"/>
    </row>
    <row r="146" spans="1:23" x14ac:dyDescent="0.25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P146" s="34">
        <f t="shared" si="66"/>
        <v>0</v>
      </c>
      <c r="T146" s="2"/>
    </row>
    <row r="147" spans="1:23" x14ac:dyDescent="0.25">
      <c r="B147" s="2"/>
      <c r="E147" s="2"/>
      <c r="H147" s="2"/>
      <c r="I147" s="2"/>
      <c r="J147" s="2"/>
      <c r="N147" s="2">
        <f>SUM(C144:N144)</f>
        <v>9939582392.8006268</v>
      </c>
      <c r="P147" s="34">
        <f t="shared" si="66"/>
        <v>0</v>
      </c>
      <c r="Q147" s="2"/>
      <c r="T147" s="2" t="e">
        <f>+#REF!</f>
        <v>#REF!</v>
      </c>
      <c r="U147" s="20"/>
      <c r="W147" s="2"/>
    </row>
    <row r="148" spans="1:23" x14ac:dyDescent="0.25">
      <c r="B148" s="2"/>
      <c r="E148" s="2"/>
      <c r="H148" s="2"/>
      <c r="J148" s="2"/>
      <c r="N148" s="2">
        <f>+N147-O144</f>
        <v>0</v>
      </c>
      <c r="P148" s="34">
        <f t="shared" si="66"/>
        <v>0</v>
      </c>
      <c r="T148" s="2">
        <f>815000000*1.07</f>
        <v>872050000</v>
      </c>
      <c r="U148" s="20"/>
      <c r="W148" s="2"/>
    </row>
    <row r="149" spans="1:23" x14ac:dyDescent="0.25">
      <c r="B149" s="2"/>
      <c r="H149" s="2"/>
      <c r="J149" s="2"/>
      <c r="N149" s="2">
        <f>+N148/10</f>
        <v>0</v>
      </c>
      <c r="P149" s="34">
        <f t="shared" si="66"/>
        <v>0</v>
      </c>
      <c r="Q149" s="2"/>
      <c r="T149" s="2">
        <v>-1173139539</v>
      </c>
      <c r="U149" s="20"/>
    </row>
    <row r="150" spans="1:23" x14ac:dyDescent="0.25">
      <c r="B150" s="2"/>
      <c r="H150" s="2"/>
      <c r="J150" s="2"/>
      <c r="P150" s="34">
        <f t="shared" si="66"/>
        <v>0</v>
      </c>
      <c r="T150" s="2">
        <v>-272818809</v>
      </c>
      <c r="U150" s="20">
        <v>371527244</v>
      </c>
      <c r="V150" s="2">
        <f>+U150+T150</f>
        <v>98708435</v>
      </c>
    </row>
    <row r="151" spans="1:23" x14ac:dyDescent="0.25">
      <c r="B151" s="2"/>
      <c r="D151" s="2">
        <f>+'[10]202401anual'!$D$144</f>
        <v>914143613.40208089</v>
      </c>
      <c r="H151" s="2"/>
      <c r="J151" s="2"/>
      <c r="P151" s="34">
        <f t="shared" si="66"/>
        <v>0</v>
      </c>
      <c r="T151" s="2">
        <f>-(2000000-1920114)*12</f>
        <v>-958632</v>
      </c>
      <c r="U151" s="2"/>
    </row>
    <row r="152" spans="1:23" x14ac:dyDescent="0.25">
      <c r="H152" s="2"/>
      <c r="J152" s="2"/>
      <c r="P152" s="34">
        <f t="shared" si="66"/>
        <v>0</v>
      </c>
      <c r="T152" s="2">
        <v>-49700000</v>
      </c>
      <c r="U152" s="2"/>
    </row>
    <row r="153" spans="1:23" x14ac:dyDescent="0.25">
      <c r="C153" s="3"/>
      <c r="H153" s="2"/>
      <c r="P153" s="34">
        <f t="shared" si="66"/>
        <v>0</v>
      </c>
      <c r="T153" s="2" t="e">
        <f>-#REF!</f>
        <v>#REF!</v>
      </c>
    </row>
    <row r="154" spans="1:23" x14ac:dyDescent="0.25">
      <c r="H154" s="2"/>
      <c r="P154" s="34">
        <f t="shared" si="66"/>
        <v>0</v>
      </c>
      <c r="T154" s="2" t="e">
        <f>-#REF!</f>
        <v>#REF!</v>
      </c>
    </row>
    <row r="155" spans="1:23" x14ac:dyDescent="0.25">
      <c r="H155" s="2"/>
      <c r="P155" s="34">
        <f t="shared" si="66"/>
        <v>0</v>
      </c>
      <c r="T155" s="2">
        <f>+S47</f>
        <v>0</v>
      </c>
    </row>
    <row r="156" spans="1:23" x14ac:dyDescent="0.25">
      <c r="T156" s="2" t="e">
        <f>SUM(T147:T155)</f>
        <v>#REF!</v>
      </c>
    </row>
    <row r="157" spans="1:23" x14ac:dyDescent="0.25">
      <c r="T157" s="2" t="e">
        <f>+T156-#REF!</f>
        <v>#REF!</v>
      </c>
    </row>
  </sheetData>
  <autoFilter ref="A5:O145" xr:uid="{4C861BE8-7E5D-4966-A65F-7599F5FEBCAA}"/>
  <mergeCells count="2">
    <mergeCell ref="A1:C1"/>
    <mergeCell ref="A3:O3"/>
  </mergeCells>
  <pageMargins left="0.59055118110236227" right="0.39370078740157483" top="0.39370078740157483" bottom="0.59055118110236227" header="0.31496062992125984" footer="0.31496062992125984"/>
  <pageSetup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169B29-B0CC-43C7-B39A-D8917A4DC017}">
  <dimension ref="A1:BC126"/>
  <sheetViews>
    <sheetView showGridLines="0" tabSelected="1" zoomScaleNormal="100" workbookViewId="0">
      <pane xSplit="1" ySplit="5" topLeftCell="D89" activePane="bottomRight" state="frozen"/>
      <selection pane="topRight" activeCell="B1" sqref="B1"/>
      <selection pane="bottomLeft" activeCell="A5" sqref="A5"/>
      <selection pane="bottomRight" activeCell="I103" sqref="I103:I107"/>
    </sheetView>
  </sheetViews>
  <sheetFormatPr baseColWidth="10" defaultColWidth="11.42578125" defaultRowHeight="15" x14ac:dyDescent="0.25"/>
  <cols>
    <col min="1" max="1" width="73.42578125" customWidth="1"/>
    <col min="2" max="2" width="17.85546875" bestFit="1" customWidth="1"/>
    <col min="3" max="8" width="15.5703125" customWidth="1"/>
    <col min="9" max="11" width="16.7109375" customWidth="1"/>
    <col min="12" max="23" width="16.140625" hidden="1" customWidth="1"/>
    <col min="24" max="35" width="16.7109375" hidden="1" customWidth="1"/>
    <col min="36" max="38" width="16.140625" hidden="1" customWidth="1"/>
    <col min="39" max="39" width="17.85546875" customWidth="1"/>
    <col min="40" max="40" width="16.7109375" customWidth="1"/>
    <col min="41" max="41" width="18.42578125" customWidth="1"/>
    <col min="42" max="42" width="9.5703125" customWidth="1"/>
    <col min="43" max="43" width="16.85546875" hidden="1" customWidth="1"/>
    <col min="44" max="44" width="16.140625" hidden="1" customWidth="1"/>
    <col min="45" max="45" width="15.85546875" hidden="1" customWidth="1"/>
    <col min="46" max="46" width="15.5703125" customWidth="1"/>
    <col min="47" max="47" width="17.28515625" customWidth="1"/>
    <col min="48" max="48" width="18.42578125" customWidth="1"/>
    <col min="49" max="51" width="15.5703125" customWidth="1"/>
    <col min="52" max="52" width="14" customWidth="1"/>
    <col min="53" max="53" width="15.140625" style="78" bestFit="1" customWidth="1"/>
    <col min="54" max="54" width="11.42578125" customWidth="1"/>
  </cols>
  <sheetData>
    <row r="1" spans="1:54" x14ac:dyDescent="0.25">
      <c r="A1" s="98" t="s">
        <v>51</v>
      </c>
      <c r="B1" s="98"/>
      <c r="C1" s="98"/>
      <c r="D1" s="14"/>
      <c r="E1" s="14"/>
    </row>
    <row r="2" spans="1:54" x14ac:dyDescent="0.25">
      <c r="A2" s="14"/>
      <c r="B2" s="14"/>
      <c r="C2" s="14"/>
      <c r="D2" s="14"/>
      <c r="E2" s="14"/>
    </row>
    <row r="3" spans="1:54" ht="15.75" thickBot="1" x14ac:dyDescent="0.3">
      <c r="A3" s="99" t="s">
        <v>193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99"/>
      <c r="S3" s="99"/>
      <c r="T3" s="99"/>
      <c r="U3" s="99"/>
      <c r="V3" s="99"/>
      <c r="W3" s="99"/>
      <c r="X3" s="99"/>
      <c r="Y3" s="99"/>
      <c r="Z3" s="99"/>
      <c r="AA3" s="99"/>
      <c r="AB3" s="99"/>
      <c r="AC3" s="99"/>
      <c r="AD3" s="99"/>
      <c r="AE3" s="99"/>
      <c r="AF3" s="99"/>
      <c r="AG3" s="99"/>
      <c r="AH3" s="99"/>
      <c r="AI3" s="99"/>
      <c r="AJ3" s="99"/>
      <c r="AK3" s="99"/>
      <c r="AL3" s="99"/>
      <c r="AM3" s="99"/>
      <c r="AN3" s="99"/>
      <c r="AO3" s="99"/>
      <c r="AP3" s="99"/>
      <c r="AQ3" s="23"/>
      <c r="AR3" s="23"/>
      <c r="AS3" s="23"/>
    </row>
    <row r="4" spans="1:54" ht="15.75" thickBot="1" x14ac:dyDescent="0.3">
      <c r="A4" s="23"/>
      <c r="B4" s="23"/>
      <c r="C4" s="100" t="s">
        <v>105</v>
      </c>
      <c r="D4" s="101"/>
      <c r="E4" s="102"/>
      <c r="F4" s="100" t="s">
        <v>107</v>
      </c>
      <c r="G4" s="101"/>
      <c r="H4" s="102"/>
      <c r="I4" s="100" t="s">
        <v>109</v>
      </c>
      <c r="J4" s="101"/>
      <c r="K4" s="102"/>
      <c r="L4" s="100" t="s">
        <v>112</v>
      </c>
      <c r="M4" s="101"/>
      <c r="N4" s="102"/>
      <c r="O4" s="100" t="s">
        <v>113</v>
      </c>
      <c r="P4" s="101"/>
      <c r="Q4" s="102"/>
      <c r="R4" s="100" t="s">
        <v>115</v>
      </c>
      <c r="S4" s="101"/>
      <c r="T4" s="102"/>
      <c r="U4" s="100" t="s">
        <v>116</v>
      </c>
      <c r="V4" s="101"/>
      <c r="W4" s="102"/>
      <c r="X4" s="100" t="s">
        <v>117</v>
      </c>
      <c r="Y4" s="101"/>
      <c r="Z4" s="102"/>
      <c r="AA4" s="100" t="s">
        <v>122</v>
      </c>
      <c r="AB4" s="101"/>
      <c r="AC4" s="102"/>
      <c r="AD4" s="100" t="s">
        <v>123</v>
      </c>
      <c r="AE4" s="101"/>
      <c r="AF4" s="102"/>
      <c r="AG4" s="100" t="s">
        <v>124</v>
      </c>
      <c r="AH4" s="101"/>
      <c r="AI4" s="102"/>
      <c r="AJ4" s="100" t="s">
        <v>125</v>
      </c>
      <c r="AK4" s="101"/>
      <c r="AL4" s="102"/>
      <c r="AM4" s="103" t="s">
        <v>48</v>
      </c>
      <c r="AN4" s="104"/>
      <c r="AO4" s="104"/>
      <c r="AP4" s="105"/>
      <c r="AQ4" s="23"/>
      <c r="AR4" s="23"/>
      <c r="AS4" s="23"/>
    </row>
    <row r="5" spans="1:54" s="19" customFormat="1" ht="30" x14ac:dyDescent="0.25">
      <c r="A5" s="16" t="s">
        <v>50</v>
      </c>
      <c r="B5" s="17" t="s">
        <v>126</v>
      </c>
      <c r="C5" s="17" t="s">
        <v>40</v>
      </c>
      <c r="D5" s="17" t="s">
        <v>99</v>
      </c>
      <c r="E5" s="17" t="s">
        <v>100</v>
      </c>
      <c r="F5" s="17" t="s">
        <v>41</v>
      </c>
      <c r="G5" s="17" t="s">
        <v>106</v>
      </c>
      <c r="H5" s="17" t="s">
        <v>100</v>
      </c>
      <c r="I5" s="17" t="s">
        <v>42</v>
      </c>
      <c r="J5" s="17" t="s">
        <v>106</v>
      </c>
      <c r="K5" s="17" t="s">
        <v>100</v>
      </c>
      <c r="L5" s="17" t="s">
        <v>43</v>
      </c>
      <c r="M5" s="17" t="s">
        <v>106</v>
      </c>
      <c r="N5" s="17" t="s">
        <v>100</v>
      </c>
      <c r="O5" s="17" t="s">
        <v>44</v>
      </c>
      <c r="P5" s="17" t="s">
        <v>106</v>
      </c>
      <c r="Q5" s="17" t="s">
        <v>100</v>
      </c>
      <c r="R5" s="17" t="s">
        <v>6</v>
      </c>
      <c r="S5" s="17" t="s">
        <v>106</v>
      </c>
      <c r="T5" s="17" t="s">
        <v>100</v>
      </c>
      <c r="U5" s="17" t="s">
        <v>5</v>
      </c>
      <c r="V5" s="17" t="s">
        <v>106</v>
      </c>
      <c r="W5" s="17" t="s">
        <v>100</v>
      </c>
      <c r="X5" s="17" t="s">
        <v>45</v>
      </c>
      <c r="Y5" s="17" t="s">
        <v>106</v>
      </c>
      <c r="Z5" s="17" t="s">
        <v>100</v>
      </c>
      <c r="AA5" s="17" t="s">
        <v>46</v>
      </c>
      <c r="AB5" s="17" t="s">
        <v>106</v>
      </c>
      <c r="AC5" s="17" t="s">
        <v>100</v>
      </c>
      <c r="AD5" s="17" t="s">
        <v>47</v>
      </c>
      <c r="AE5" s="17" t="s">
        <v>106</v>
      </c>
      <c r="AF5" s="17" t="s">
        <v>100</v>
      </c>
      <c r="AG5" s="17" t="s">
        <v>4</v>
      </c>
      <c r="AH5" s="17" t="s">
        <v>106</v>
      </c>
      <c r="AI5" s="17" t="s">
        <v>100</v>
      </c>
      <c r="AJ5" s="17" t="s">
        <v>3</v>
      </c>
      <c r="AK5" s="17" t="s">
        <v>106</v>
      </c>
      <c r="AL5" s="17" t="s">
        <v>100</v>
      </c>
      <c r="AM5" s="28" t="s">
        <v>102</v>
      </c>
      <c r="AN5" s="28" t="s">
        <v>103</v>
      </c>
      <c r="AO5" s="28" t="s">
        <v>104</v>
      </c>
      <c r="AP5" s="92" t="s">
        <v>49</v>
      </c>
      <c r="AQ5" s="33"/>
      <c r="AR5" s="33"/>
      <c r="AS5" s="33"/>
      <c r="BA5" s="79"/>
    </row>
    <row r="6" spans="1:54" x14ac:dyDescent="0.25">
      <c r="A6" s="5" t="s">
        <v>94</v>
      </c>
      <c r="B6" s="4">
        <v>286278840.2954188</v>
      </c>
      <c r="C6" s="4">
        <v>23497414.696837816</v>
      </c>
      <c r="D6" s="4">
        <v>15805629.470000001</v>
      </c>
      <c r="E6" s="4">
        <f>+C6-D6</f>
        <v>7691785.2268378157</v>
      </c>
      <c r="F6" s="4">
        <v>23497414.696837816</v>
      </c>
      <c r="G6" s="4">
        <v>14566194.060000002</v>
      </c>
      <c r="H6" s="4">
        <f t="shared" ref="H6:H23" si="0">+F6-G6</f>
        <v>8931220.636837814</v>
      </c>
      <c r="I6" s="4">
        <f>+'202401anual'!E6</f>
        <v>23497414.696837816</v>
      </c>
      <c r="J6" s="4">
        <v>15128444.150000002</v>
      </c>
      <c r="K6" s="4">
        <f t="shared" ref="K6:K26" si="1">+I6-J6</f>
        <v>8368970.5468378142</v>
      </c>
      <c r="L6" s="4"/>
      <c r="M6" s="4"/>
      <c r="N6" s="4">
        <f t="shared" ref="N6:N12" si="2">+L6-M6</f>
        <v>0</v>
      </c>
      <c r="O6" s="4"/>
      <c r="P6" s="4"/>
      <c r="Q6" s="4">
        <f t="shared" ref="Q6:Q12" si="3">+O6-P6</f>
        <v>0</v>
      </c>
      <c r="R6" s="4"/>
      <c r="S6" s="4"/>
      <c r="T6" s="4">
        <f t="shared" ref="T6:T12" si="4">+R6-S6</f>
        <v>0</v>
      </c>
      <c r="U6" s="4"/>
      <c r="V6" s="4"/>
      <c r="W6" s="4">
        <f>+U6-V6</f>
        <v>0</v>
      </c>
      <c r="X6" s="4"/>
      <c r="Y6" s="4"/>
      <c r="Z6" s="4">
        <f t="shared" ref="Z6:Z12" si="5">+X6-Y6</f>
        <v>0</v>
      </c>
      <c r="AA6" s="4"/>
      <c r="AB6" s="4"/>
      <c r="AC6" s="4">
        <f t="shared" ref="AC6:AC26" si="6">+AA6-AB6</f>
        <v>0</v>
      </c>
      <c r="AD6" s="4"/>
      <c r="AE6" s="4"/>
      <c r="AF6" s="4">
        <f t="shared" ref="AF6:AF12" si="7">+AD6-AE6</f>
        <v>0</v>
      </c>
      <c r="AG6" s="4"/>
      <c r="AH6" s="4"/>
      <c r="AI6" s="4">
        <f t="shared" ref="AI6:AI12" si="8">+AG6-AH6</f>
        <v>0</v>
      </c>
      <c r="AJ6" s="4"/>
      <c r="AK6" s="4"/>
      <c r="AL6" s="4">
        <f t="shared" ref="AL6:AL26" si="9">+AJ6-AK6</f>
        <v>0</v>
      </c>
      <c r="AM6" s="4">
        <f>+C6+F6+I6+L6+O6+R6+U6+X6+AA6+AD6+AG6+AJ6</f>
        <v>70492244.090513453</v>
      </c>
      <c r="AN6" s="4">
        <f>+D6+G6+J6+M6+P6+S6+V6+Y6+AB6+AE6+AH6+AK6</f>
        <v>45500267.680000007</v>
      </c>
      <c r="AO6" s="4">
        <f>+AM6-AN6</f>
        <v>24991976.410513446</v>
      </c>
      <c r="AP6" s="43">
        <f t="shared" ref="AP6:AP15" si="10">+AO6/AM6</f>
        <v>0.35453512273525079</v>
      </c>
      <c r="AQ6" s="34">
        <f>+AM6-B6</f>
        <v>-215786596.20490533</v>
      </c>
      <c r="AR6" s="34"/>
      <c r="AS6" s="34"/>
      <c r="AT6" s="2"/>
      <c r="AU6" s="2"/>
    </row>
    <row r="7" spans="1:54" x14ac:dyDescent="0.25">
      <c r="A7" s="5" t="s">
        <v>95</v>
      </c>
      <c r="B7" s="4">
        <v>841051204.84357905</v>
      </c>
      <c r="C7" s="4">
        <v>69032447.25</v>
      </c>
      <c r="D7" s="4">
        <v>30068689.579999998</v>
      </c>
      <c r="E7" s="4">
        <f t="shared" ref="E7:E15" si="11">+C7-D7</f>
        <v>38963757.670000002</v>
      </c>
      <c r="F7" s="4">
        <v>69032447.25</v>
      </c>
      <c r="G7" s="4">
        <v>38062935.499999993</v>
      </c>
      <c r="H7" s="4">
        <f t="shared" si="0"/>
        <v>30969511.750000007</v>
      </c>
      <c r="I7" s="4">
        <f>+'202401anual'!E7</f>
        <v>69032447.25</v>
      </c>
      <c r="J7" s="4">
        <v>40612168.799999997</v>
      </c>
      <c r="K7" s="4">
        <f t="shared" si="1"/>
        <v>28420278.450000003</v>
      </c>
      <c r="L7" s="4"/>
      <c r="M7" s="4"/>
      <c r="N7" s="4">
        <f t="shared" si="2"/>
        <v>0</v>
      </c>
      <c r="O7" s="4"/>
      <c r="P7" s="4"/>
      <c r="Q7" s="4">
        <f t="shared" si="3"/>
        <v>0</v>
      </c>
      <c r="R7" s="4"/>
      <c r="S7" s="4"/>
      <c r="T7" s="4">
        <f t="shared" si="4"/>
        <v>0</v>
      </c>
      <c r="U7" s="4"/>
      <c r="V7" s="4"/>
      <c r="W7" s="4">
        <f t="shared" ref="W7:W12" si="12">+U7-V7</f>
        <v>0</v>
      </c>
      <c r="X7" s="4"/>
      <c r="Y7" s="4"/>
      <c r="Z7" s="4">
        <f t="shared" si="5"/>
        <v>0</v>
      </c>
      <c r="AA7" s="4"/>
      <c r="AB7" s="4"/>
      <c r="AC7" s="4">
        <f t="shared" si="6"/>
        <v>0</v>
      </c>
      <c r="AD7" s="4"/>
      <c r="AE7" s="4"/>
      <c r="AF7" s="4">
        <f t="shared" si="7"/>
        <v>0</v>
      </c>
      <c r="AG7" s="4"/>
      <c r="AH7" s="4"/>
      <c r="AI7" s="4">
        <f t="shared" si="8"/>
        <v>0</v>
      </c>
      <c r="AJ7" s="4"/>
      <c r="AK7" s="4"/>
      <c r="AL7" s="4">
        <f t="shared" si="9"/>
        <v>0</v>
      </c>
      <c r="AM7" s="4">
        <f t="shared" ref="AM7:AM15" si="13">+C7+F7+I7+L7+O7+R7+U7+X7+AA7+AD7+AG7+AJ7</f>
        <v>207097341.75</v>
      </c>
      <c r="AN7" s="4">
        <f t="shared" ref="AN7:AN15" si="14">+D7+G7+J7+M7+P7+S7+V7+Y7+AB7+AE7+AH7+AK7</f>
        <v>108743793.87999998</v>
      </c>
      <c r="AO7" s="4">
        <f t="shared" ref="AO7:AO15" si="15">+AM7-AN7</f>
        <v>98353547.87000002</v>
      </c>
      <c r="AP7" s="43">
        <f t="shared" si="10"/>
        <v>0.47491458383241186</v>
      </c>
      <c r="AQ7" s="34">
        <f t="shared" ref="AQ7:AQ95" si="16">+AM7-B7</f>
        <v>-633953863.09357905</v>
      </c>
      <c r="AR7" s="34"/>
      <c r="AS7" s="34"/>
      <c r="AT7" s="2"/>
      <c r="AU7" s="2"/>
    </row>
    <row r="8" spans="1:54" x14ac:dyDescent="0.25">
      <c r="A8" s="5" t="s">
        <v>127</v>
      </c>
      <c r="B8" s="4">
        <v>18000000</v>
      </c>
      <c r="C8" s="4">
        <v>1500000</v>
      </c>
      <c r="D8" s="4">
        <v>14450608.33</v>
      </c>
      <c r="E8" s="4">
        <f t="shared" si="11"/>
        <v>-12950608.33</v>
      </c>
      <c r="F8" s="4">
        <v>1500000</v>
      </c>
      <c r="G8" s="4">
        <v>15986714.09</v>
      </c>
      <c r="H8" s="4"/>
      <c r="I8" s="4">
        <f>+'202401anual'!E8</f>
        <v>1500000</v>
      </c>
      <c r="J8" s="4">
        <v>14963535.380000001</v>
      </c>
      <c r="K8" s="4">
        <f t="shared" si="1"/>
        <v>-13463535.380000001</v>
      </c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>
        <f t="shared" si="13"/>
        <v>4500000</v>
      </c>
      <c r="AN8" s="4">
        <f t="shared" si="14"/>
        <v>45400857.800000004</v>
      </c>
      <c r="AO8" s="4">
        <f t="shared" si="15"/>
        <v>-40900857.800000004</v>
      </c>
      <c r="AP8" s="43">
        <f t="shared" si="10"/>
        <v>-9.0890795111111125</v>
      </c>
      <c r="AQ8" s="34"/>
      <c r="AR8" s="34"/>
      <c r="AS8" s="34"/>
      <c r="AT8" s="2"/>
      <c r="AU8" s="2"/>
    </row>
    <row r="9" spans="1:54" x14ac:dyDescent="0.25">
      <c r="A9" s="5" t="s">
        <v>192</v>
      </c>
      <c r="B9" s="4">
        <v>792000</v>
      </c>
      <c r="C9" s="4">
        <v>66000</v>
      </c>
      <c r="D9" s="4">
        <v>429451.91</v>
      </c>
      <c r="E9" s="4">
        <f t="shared" si="11"/>
        <v>-363451.91</v>
      </c>
      <c r="F9" s="4">
        <v>66000</v>
      </c>
      <c r="G9" s="4">
        <v>1995582.17</v>
      </c>
      <c r="H9" s="4">
        <f t="shared" si="0"/>
        <v>-1929582.17</v>
      </c>
      <c r="I9" s="4">
        <f>+'202401anual'!E9</f>
        <v>66000</v>
      </c>
      <c r="J9" s="4">
        <v>428559.35999999999</v>
      </c>
      <c r="K9" s="4">
        <f t="shared" si="1"/>
        <v>-362559.36</v>
      </c>
      <c r="L9" s="4"/>
      <c r="M9" s="4"/>
      <c r="N9" s="4">
        <f t="shared" si="2"/>
        <v>0</v>
      </c>
      <c r="O9" s="4"/>
      <c r="P9" s="4"/>
      <c r="Q9" s="4">
        <f t="shared" si="3"/>
        <v>0</v>
      </c>
      <c r="R9" s="4"/>
      <c r="S9" s="4"/>
      <c r="T9" s="4">
        <f t="shared" si="4"/>
        <v>0</v>
      </c>
      <c r="U9" s="4"/>
      <c r="V9" s="4"/>
      <c r="W9" s="4">
        <f t="shared" si="12"/>
        <v>0</v>
      </c>
      <c r="X9" s="4"/>
      <c r="Y9" s="4"/>
      <c r="Z9" s="4">
        <f t="shared" si="5"/>
        <v>0</v>
      </c>
      <c r="AA9" s="4"/>
      <c r="AB9" s="4"/>
      <c r="AC9" s="4">
        <f t="shared" si="6"/>
        <v>0</v>
      </c>
      <c r="AD9" s="4"/>
      <c r="AE9" s="4"/>
      <c r="AF9" s="4">
        <f t="shared" si="7"/>
        <v>0</v>
      </c>
      <c r="AG9" s="4"/>
      <c r="AH9" s="4"/>
      <c r="AI9" s="4">
        <f t="shared" si="8"/>
        <v>0</v>
      </c>
      <c r="AJ9" s="4"/>
      <c r="AK9" s="4"/>
      <c r="AL9" s="4">
        <f t="shared" si="9"/>
        <v>0</v>
      </c>
      <c r="AM9" s="4">
        <f t="shared" si="13"/>
        <v>198000</v>
      </c>
      <c r="AN9" s="4">
        <f t="shared" si="14"/>
        <v>2853593.44</v>
      </c>
      <c r="AO9" s="4">
        <f t="shared" si="15"/>
        <v>-2655593.44</v>
      </c>
      <c r="AP9" s="43">
        <f t="shared" si="10"/>
        <v>-13.412088080808081</v>
      </c>
      <c r="AQ9" s="34">
        <f t="shared" si="16"/>
        <v>-594000</v>
      </c>
      <c r="AR9" s="34"/>
      <c r="AS9" s="34"/>
      <c r="AT9" s="2"/>
      <c r="AU9" s="2"/>
    </row>
    <row r="10" spans="1:54" x14ac:dyDescent="0.25">
      <c r="A10" s="5" t="s">
        <v>129</v>
      </c>
      <c r="B10" s="4">
        <v>1320797910.4947624</v>
      </c>
      <c r="C10" s="4">
        <v>80662092.893341199</v>
      </c>
      <c r="D10" s="4">
        <v>50172392.219999991</v>
      </c>
      <c r="E10" s="4">
        <f t="shared" si="11"/>
        <v>30489700.673341207</v>
      </c>
      <c r="F10" s="4">
        <v>87150663.773341209</v>
      </c>
      <c r="G10" s="4">
        <v>52110666.880000003</v>
      </c>
      <c r="H10" s="4">
        <f t="shared" si="0"/>
        <v>35039996.893341206</v>
      </c>
      <c r="I10" s="4">
        <f>+'202401anual'!E10</f>
        <v>93639234.653341204</v>
      </c>
      <c r="J10" s="4">
        <v>49072414.280000001</v>
      </c>
      <c r="K10" s="4">
        <f t="shared" si="1"/>
        <v>44566820.373341203</v>
      </c>
      <c r="L10" s="4"/>
      <c r="M10" s="4"/>
      <c r="N10" s="4">
        <f t="shared" si="2"/>
        <v>0</v>
      </c>
      <c r="O10" s="4"/>
      <c r="P10" s="4"/>
      <c r="Q10" s="4">
        <f t="shared" si="3"/>
        <v>0</v>
      </c>
      <c r="R10" s="4"/>
      <c r="S10" s="4"/>
      <c r="T10" s="4">
        <f t="shared" si="4"/>
        <v>0</v>
      </c>
      <c r="U10" s="4"/>
      <c r="V10" s="4"/>
      <c r="W10" s="4">
        <f t="shared" si="12"/>
        <v>0</v>
      </c>
      <c r="X10" s="4"/>
      <c r="Y10" s="4"/>
      <c r="Z10" s="4">
        <f t="shared" si="5"/>
        <v>0</v>
      </c>
      <c r="AA10" s="4"/>
      <c r="AB10" s="4"/>
      <c r="AC10" s="4">
        <f t="shared" si="6"/>
        <v>0</v>
      </c>
      <c r="AD10" s="4"/>
      <c r="AE10" s="4"/>
      <c r="AF10" s="4">
        <f t="shared" si="7"/>
        <v>0</v>
      </c>
      <c r="AG10" s="4"/>
      <c r="AH10" s="4"/>
      <c r="AI10" s="4">
        <f t="shared" si="8"/>
        <v>0</v>
      </c>
      <c r="AJ10" s="4"/>
      <c r="AK10" s="4"/>
      <c r="AL10" s="4">
        <f t="shared" si="9"/>
        <v>0</v>
      </c>
      <c r="AM10" s="4">
        <f t="shared" si="13"/>
        <v>261451991.32002363</v>
      </c>
      <c r="AN10" s="4">
        <f t="shared" si="14"/>
        <v>151355473.38</v>
      </c>
      <c r="AO10" s="4">
        <f t="shared" si="15"/>
        <v>110096517.94002363</v>
      </c>
      <c r="AP10" s="43">
        <f t="shared" si="10"/>
        <v>0.42109649800013493</v>
      </c>
      <c r="AQ10" s="34">
        <f t="shared" si="16"/>
        <v>-1059345919.1747388</v>
      </c>
      <c r="AR10" s="34"/>
      <c r="AS10" s="34"/>
      <c r="AT10" s="2"/>
      <c r="AU10" s="2"/>
    </row>
    <row r="11" spans="1:54" x14ac:dyDescent="0.25">
      <c r="A11" s="5" t="s">
        <v>184</v>
      </c>
      <c r="B11" s="4">
        <v>3454191.2229688521</v>
      </c>
      <c r="C11" s="4">
        <v>283515.76220065932</v>
      </c>
      <c r="D11" s="4">
        <v>72195.45</v>
      </c>
      <c r="E11" s="4">
        <f t="shared" si="11"/>
        <v>211320.3122006593</v>
      </c>
      <c r="F11" s="4">
        <v>283515.76220065932</v>
      </c>
      <c r="G11" s="4">
        <v>118064.23</v>
      </c>
      <c r="H11" s="4">
        <f t="shared" si="0"/>
        <v>165451.53220065933</v>
      </c>
      <c r="I11" s="4">
        <f>+'202401anual'!E11</f>
        <v>283515.76220065932</v>
      </c>
      <c r="J11" s="4">
        <v>97914.359999999986</v>
      </c>
      <c r="K11" s="4">
        <f t="shared" si="1"/>
        <v>185601.40220065933</v>
      </c>
      <c r="L11" s="4"/>
      <c r="M11" s="4"/>
      <c r="N11" s="4">
        <f t="shared" si="2"/>
        <v>0</v>
      </c>
      <c r="O11" s="4"/>
      <c r="P11" s="4"/>
      <c r="Q11" s="4">
        <f t="shared" si="3"/>
        <v>0</v>
      </c>
      <c r="R11" s="4"/>
      <c r="S11" s="4"/>
      <c r="T11" s="4">
        <f t="shared" si="4"/>
        <v>0</v>
      </c>
      <c r="U11" s="4"/>
      <c r="V11" s="4"/>
      <c r="W11" s="4">
        <f t="shared" si="12"/>
        <v>0</v>
      </c>
      <c r="X11" s="4"/>
      <c r="Y11" s="4"/>
      <c r="Z11" s="4">
        <f t="shared" si="5"/>
        <v>0</v>
      </c>
      <c r="AA11" s="4"/>
      <c r="AB11" s="4"/>
      <c r="AC11" s="4">
        <f t="shared" si="6"/>
        <v>0</v>
      </c>
      <c r="AD11" s="4"/>
      <c r="AE11" s="4"/>
      <c r="AF11" s="4">
        <f t="shared" si="7"/>
        <v>0</v>
      </c>
      <c r="AG11" s="4"/>
      <c r="AH11" s="4"/>
      <c r="AI11" s="4">
        <f t="shared" si="8"/>
        <v>0</v>
      </c>
      <c r="AJ11" s="4"/>
      <c r="AK11" s="4"/>
      <c r="AL11" s="4">
        <f t="shared" si="9"/>
        <v>0</v>
      </c>
      <c r="AM11" s="4">
        <f t="shared" si="13"/>
        <v>850547.28660197789</v>
      </c>
      <c r="AN11" s="4">
        <f t="shared" si="14"/>
        <v>288174.03999999998</v>
      </c>
      <c r="AO11" s="4">
        <f t="shared" si="15"/>
        <v>562373.24660197785</v>
      </c>
      <c r="AP11" s="43">
        <f t="shared" si="10"/>
        <v>0.66118986617277409</v>
      </c>
      <c r="AQ11" s="34">
        <f t="shared" si="16"/>
        <v>-2603643.9363668743</v>
      </c>
      <c r="AR11" s="34"/>
      <c r="AS11" s="34"/>
      <c r="AT11" s="2"/>
      <c r="AU11" s="2"/>
    </row>
    <row r="12" spans="1:54" x14ac:dyDescent="0.25">
      <c r="A12" s="5" t="s">
        <v>185</v>
      </c>
      <c r="B12" s="4">
        <v>5851039.1350167179</v>
      </c>
      <c r="C12" s="4">
        <v>480246.0874196685</v>
      </c>
      <c r="D12" s="4">
        <v>71007</v>
      </c>
      <c r="E12" s="4">
        <f t="shared" si="11"/>
        <v>409239.0874196685</v>
      </c>
      <c r="F12" s="4">
        <v>480246.0874196685</v>
      </c>
      <c r="G12" s="4">
        <v>308136.26</v>
      </c>
      <c r="H12" s="4">
        <f t="shared" si="0"/>
        <v>172109.82741966849</v>
      </c>
      <c r="I12" s="4">
        <f>+'202401anual'!E12</f>
        <v>480246.0874196685</v>
      </c>
      <c r="J12" s="4">
        <v>94900.36</v>
      </c>
      <c r="K12" s="4">
        <f t="shared" si="1"/>
        <v>385345.72741966852</v>
      </c>
      <c r="L12" s="4"/>
      <c r="M12" s="4"/>
      <c r="N12" s="4">
        <f t="shared" si="2"/>
        <v>0</v>
      </c>
      <c r="O12" s="4"/>
      <c r="P12" s="4"/>
      <c r="Q12" s="4">
        <f t="shared" si="3"/>
        <v>0</v>
      </c>
      <c r="R12" s="4"/>
      <c r="S12" s="4"/>
      <c r="T12" s="4">
        <f t="shared" si="4"/>
        <v>0</v>
      </c>
      <c r="U12" s="4"/>
      <c r="V12" s="4"/>
      <c r="W12" s="4">
        <f t="shared" si="12"/>
        <v>0</v>
      </c>
      <c r="X12" s="4"/>
      <c r="Y12" s="4"/>
      <c r="Z12" s="4">
        <f t="shared" si="5"/>
        <v>0</v>
      </c>
      <c r="AA12" s="4">
        <v>0</v>
      </c>
      <c r="AB12" s="4">
        <v>0</v>
      </c>
      <c r="AC12" s="4">
        <f t="shared" si="6"/>
        <v>0</v>
      </c>
      <c r="AD12" s="4"/>
      <c r="AE12" s="4"/>
      <c r="AF12" s="4">
        <f t="shared" si="7"/>
        <v>0</v>
      </c>
      <c r="AG12" s="4"/>
      <c r="AH12" s="4"/>
      <c r="AI12" s="4">
        <f t="shared" si="8"/>
        <v>0</v>
      </c>
      <c r="AJ12" s="4"/>
      <c r="AK12" s="4"/>
      <c r="AL12" s="4">
        <f t="shared" si="9"/>
        <v>0</v>
      </c>
      <c r="AM12" s="4">
        <f t="shared" si="13"/>
        <v>1440738.2622590056</v>
      </c>
      <c r="AN12" s="4">
        <f t="shared" si="14"/>
        <v>474043.62</v>
      </c>
      <c r="AO12" s="4">
        <f t="shared" si="15"/>
        <v>966694.64225900557</v>
      </c>
      <c r="AP12" s="43">
        <f t="shared" si="10"/>
        <v>0.67097172857981624</v>
      </c>
      <c r="AQ12" s="34">
        <f t="shared" si="16"/>
        <v>-4410300.8727577124</v>
      </c>
      <c r="AR12" s="34"/>
      <c r="AS12" s="34"/>
      <c r="AT12" s="2"/>
      <c r="AU12" s="2"/>
    </row>
    <row r="13" spans="1:54" x14ac:dyDescent="0.25">
      <c r="A13" s="5" t="s">
        <v>197</v>
      </c>
      <c r="B13" s="4">
        <v>0</v>
      </c>
      <c r="C13" s="4">
        <v>0</v>
      </c>
      <c r="D13" s="4">
        <v>36936117.219999999</v>
      </c>
      <c r="E13" s="4">
        <f t="shared" si="11"/>
        <v>-36936117.219999999</v>
      </c>
      <c r="F13" s="4"/>
      <c r="G13" s="4"/>
      <c r="H13" s="4"/>
      <c r="I13" s="4">
        <v>0</v>
      </c>
      <c r="J13" s="4"/>
      <c r="K13" s="4">
        <f t="shared" si="1"/>
        <v>0</v>
      </c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>
        <f t="shared" si="13"/>
        <v>0</v>
      </c>
      <c r="AN13" s="4">
        <f t="shared" si="14"/>
        <v>36936117.219999999</v>
      </c>
      <c r="AO13" s="4">
        <f t="shared" si="15"/>
        <v>-36936117.219999999</v>
      </c>
      <c r="AP13" s="43" t="e">
        <f t="shared" si="10"/>
        <v>#DIV/0!</v>
      </c>
      <c r="AQ13" s="34"/>
      <c r="AR13" s="34"/>
      <c r="AS13" s="34"/>
      <c r="AT13" s="2"/>
      <c r="AU13" s="2"/>
    </row>
    <row r="14" spans="1:54" x14ac:dyDescent="0.25">
      <c r="A14" s="5" t="s">
        <v>195</v>
      </c>
      <c r="B14" s="4">
        <v>0</v>
      </c>
      <c r="C14" s="4">
        <v>0</v>
      </c>
      <c r="D14" s="4">
        <v>0</v>
      </c>
      <c r="E14" s="4">
        <f t="shared" si="11"/>
        <v>0</v>
      </c>
      <c r="F14" s="4">
        <v>0</v>
      </c>
      <c r="G14" s="4">
        <v>1429805.74</v>
      </c>
      <c r="H14" s="4">
        <f t="shared" si="0"/>
        <v>-1429805.74</v>
      </c>
      <c r="I14" s="4">
        <v>0</v>
      </c>
      <c r="J14" s="4">
        <v>2114148.9500000002</v>
      </c>
      <c r="K14" s="4">
        <f t="shared" si="1"/>
        <v>-2114148.9500000002</v>
      </c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>
        <f t="shared" si="13"/>
        <v>0</v>
      </c>
      <c r="AN14" s="4">
        <f t="shared" si="14"/>
        <v>3543954.6900000004</v>
      </c>
      <c r="AO14" s="4">
        <f t="shared" si="15"/>
        <v>-3543954.6900000004</v>
      </c>
      <c r="AP14" s="43" t="e">
        <f t="shared" si="10"/>
        <v>#DIV/0!</v>
      </c>
      <c r="AQ14" s="34">
        <f t="shared" si="16"/>
        <v>0</v>
      </c>
      <c r="AR14" s="34"/>
      <c r="AS14" s="34"/>
      <c r="AT14" s="2"/>
      <c r="AU14" s="2"/>
    </row>
    <row r="15" spans="1:54" x14ac:dyDescent="0.25">
      <c r="A15" s="5" t="s">
        <v>130</v>
      </c>
      <c r="B15" s="4">
        <f>+'202401anual'!B13</f>
        <v>7463357206.8025599</v>
      </c>
      <c r="C15" s="4">
        <v>0</v>
      </c>
      <c r="D15" s="4">
        <v>0</v>
      </c>
      <c r="E15" s="4">
        <f t="shared" si="11"/>
        <v>0</v>
      </c>
      <c r="F15" s="4">
        <v>0</v>
      </c>
      <c r="G15" s="4">
        <v>0</v>
      </c>
      <c r="H15" s="4">
        <f t="shared" si="0"/>
        <v>0</v>
      </c>
      <c r="I15" s="4">
        <f>+'202401anual'!E13</f>
        <v>2500000000</v>
      </c>
      <c r="J15" s="4">
        <v>0</v>
      </c>
      <c r="K15" s="4">
        <f t="shared" si="1"/>
        <v>2500000000</v>
      </c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>
        <f t="shared" si="13"/>
        <v>2500000000</v>
      </c>
      <c r="AN15" s="4">
        <f t="shared" si="14"/>
        <v>0</v>
      </c>
      <c r="AO15" s="4">
        <f t="shared" si="15"/>
        <v>2500000000</v>
      </c>
      <c r="AP15" s="43">
        <f t="shared" si="10"/>
        <v>1</v>
      </c>
      <c r="AQ15" s="34"/>
      <c r="AR15" s="34"/>
      <c r="AS15" s="34"/>
      <c r="AT15" s="2"/>
      <c r="AU15" s="2"/>
    </row>
    <row r="16" spans="1:54" ht="18.75" x14ac:dyDescent="0.3">
      <c r="A16" s="11" t="s">
        <v>2</v>
      </c>
      <c r="B16" s="97">
        <f t="shared" ref="B16:C16" si="17">SUM(B6:B15)</f>
        <v>9939582392.7943058</v>
      </c>
      <c r="C16" s="7">
        <f t="shared" si="17"/>
        <v>175521716.68979934</v>
      </c>
      <c r="D16" s="7">
        <f>SUM(D6:D15)</f>
        <v>148006091.18000001</v>
      </c>
      <c r="E16" s="7">
        <f t="shared" ref="E16:AL16" si="18">SUM(E6:E15)</f>
        <v>27515625.509799346</v>
      </c>
      <c r="F16" s="7">
        <f t="shared" ref="F16" si="19">SUM(F6:F15)</f>
        <v>182010287.56979933</v>
      </c>
      <c r="G16" s="93">
        <f t="shared" si="18"/>
        <v>124578098.92999999</v>
      </c>
      <c r="H16" s="7">
        <f t="shared" si="18"/>
        <v>71918902.729799375</v>
      </c>
      <c r="I16" s="7">
        <f t="shared" si="18"/>
        <v>2688498858.4497995</v>
      </c>
      <c r="J16" s="7">
        <f>SUM(J6:J15)</f>
        <v>122512085.64</v>
      </c>
      <c r="K16" s="7">
        <f t="shared" si="18"/>
        <v>2565986772.8097992</v>
      </c>
      <c r="L16" s="7">
        <f t="shared" si="18"/>
        <v>0</v>
      </c>
      <c r="M16" s="7">
        <f t="shared" si="18"/>
        <v>0</v>
      </c>
      <c r="N16" s="7">
        <f t="shared" si="18"/>
        <v>0</v>
      </c>
      <c r="O16" s="7">
        <f t="shared" si="18"/>
        <v>0</v>
      </c>
      <c r="P16" s="7">
        <f t="shared" si="18"/>
        <v>0</v>
      </c>
      <c r="Q16" s="7">
        <f t="shared" si="18"/>
        <v>0</v>
      </c>
      <c r="R16" s="7">
        <f t="shared" si="18"/>
        <v>0</v>
      </c>
      <c r="S16" s="7">
        <f t="shared" si="18"/>
        <v>0</v>
      </c>
      <c r="T16" s="7">
        <f t="shared" si="18"/>
        <v>0</v>
      </c>
      <c r="U16" s="7">
        <f t="shared" si="18"/>
        <v>0</v>
      </c>
      <c r="V16" s="7">
        <f t="shared" si="18"/>
        <v>0</v>
      </c>
      <c r="W16" s="7">
        <f t="shared" si="18"/>
        <v>0</v>
      </c>
      <c r="X16" s="7">
        <f t="shared" si="18"/>
        <v>0</v>
      </c>
      <c r="Y16" s="7">
        <f t="shared" si="18"/>
        <v>0</v>
      </c>
      <c r="Z16" s="7">
        <f t="shared" si="18"/>
        <v>0</v>
      </c>
      <c r="AA16" s="7">
        <f t="shared" si="18"/>
        <v>0</v>
      </c>
      <c r="AB16" s="7">
        <f t="shared" si="18"/>
        <v>0</v>
      </c>
      <c r="AC16" s="7">
        <f t="shared" si="18"/>
        <v>0</v>
      </c>
      <c r="AD16" s="7">
        <f t="shared" si="18"/>
        <v>0</v>
      </c>
      <c r="AE16" s="7">
        <f t="shared" si="18"/>
        <v>0</v>
      </c>
      <c r="AF16" s="7">
        <f t="shared" si="18"/>
        <v>0</v>
      </c>
      <c r="AG16" s="7">
        <f t="shared" si="18"/>
        <v>0</v>
      </c>
      <c r="AH16" s="7">
        <f t="shared" si="18"/>
        <v>0</v>
      </c>
      <c r="AI16" s="7">
        <f t="shared" si="18"/>
        <v>0</v>
      </c>
      <c r="AJ16" s="7">
        <f t="shared" si="18"/>
        <v>0</v>
      </c>
      <c r="AK16" s="7">
        <f t="shared" si="18"/>
        <v>0</v>
      </c>
      <c r="AL16" s="7">
        <f t="shared" si="18"/>
        <v>0</v>
      </c>
      <c r="AM16" s="7">
        <f>SUM(AM6:AM15)</f>
        <v>3046030862.7093983</v>
      </c>
      <c r="AN16" s="7">
        <f>SUM(AN6:AN15)</f>
        <v>395096275.75000006</v>
      </c>
      <c r="AO16" s="7">
        <f>SUM(AO6:AO15)</f>
        <v>2650934586.9593983</v>
      </c>
      <c r="AP16" s="31">
        <f>+AO16/AM16</f>
        <v>0.87029144038331641</v>
      </c>
      <c r="AQ16" s="34">
        <f t="shared" si="16"/>
        <v>-6893551530.0849075</v>
      </c>
      <c r="AR16" s="35"/>
      <c r="AS16" s="35"/>
      <c r="AT16" s="51">
        <f>+K16/I16*100</f>
        <v>95.443104420336581</v>
      </c>
      <c r="AU16" s="2"/>
      <c r="BB16" s="2"/>
    </row>
    <row r="17" spans="1:54" x14ac:dyDescent="0.25">
      <c r="A17" s="5" t="s">
        <v>36</v>
      </c>
      <c r="B17" s="4">
        <v>975398331.34543312</v>
      </c>
      <c r="C17" s="4">
        <v>81283194</v>
      </c>
      <c r="D17" s="4">
        <v>80344550</v>
      </c>
      <c r="E17" s="4">
        <f t="shared" ref="E17:E26" si="20">+C17-D17</f>
        <v>938644</v>
      </c>
      <c r="F17" s="4">
        <v>81283194</v>
      </c>
      <c r="G17" s="4">
        <v>72356194</v>
      </c>
      <c r="H17" s="4">
        <f t="shared" si="0"/>
        <v>8927000</v>
      </c>
      <c r="I17" s="4">
        <f>+'202401anual'!E15</f>
        <v>81283194</v>
      </c>
      <c r="J17" s="4">
        <v>78177788</v>
      </c>
      <c r="K17" s="4">
        <f t="shared" si="1"/>
        <v>3105406</v>
      </c>
      <c r="L17" s="4"/>
      <c r="M17" s="4"/>
      <c r="N17" s="4">
        <f t="shared" ref="N17:N23" si="21">+L17-M17</f>
        <v>0</v>
      </c>
      <c r="O17" s="4"/>
      <c r="P17" s="4"/>
      <c r="Q17" s="4">
        <f t="shared" ref="Q17:Q23" si="22">+O17-P17</f>
        <v>0</v>
      </c>
      <c r="R17" s="4"/>
      <c r="S17" s="4"/>
      <c r="T17" s="4">
        <f t="shared" ref="T17:T23" si="23">+R17-S17</f>
        <v>0</v>
      </c>
      <c r="U17" s="4"/>
      <c r="V17" s="4"/>
      <c r="W17" s="4">
        <f t="shared" ref="W17:W23" si="24">+U17-V17</f>
        <v>0</v>
      </c>
      <c r="X17" s="4"/>
      <c r="Y17" s="4"/>
      <c r="Z17" s="4">
        <f t="shared" ref="Z17:Z23" si="25">+X17-Y17</f>
        <v>0</v>
      </c>
      <c r="AA17" s="4"/>
      <c r="AB17" s="4"/>
      <c r="AC17" s="4">
        <f t="shared" si="6"/>
        <v>0</v>
      </c>
      <c r="AD17" s="4"/>
      <c r="AE17" s="4"/>
      <c r="AF17" s="4">
        <f t="shared" ref="AF17:AF23" si="26">+AD17-AE17</f>
        <v>0</v>
      </c>
      <c r="AG17" s="4"/>
      <c r="AH17" s="4"/>
      <c r="AI17" s="4">
        <f>+AG17-AH17</f>
        <v>0</v>
      </c>
      <c r="AJ17" s="4"/>
      <c r="AK17" s="4"/>
      <c r="AL17" s="4">
        <f t="shared" si="9"/>
        <v>0</v>
      </c>
      <c r="AM17" s="4">
        <f t="shared" ref="AM17:AM23" si="27">+C17+F17+I17+L17+O17+R17+U17+X17+AA17+AD17+AG17+AJ17</f>
        <v>243849582</v>
      </c>
      <c r="AN17" s="4">
        <f t="shared" ref="AN17:AN23" si="28">+D17+G17+J17+M17+P17+S17+V17+Y17+AB17+AE17+AH17+AK17</f>
        <v>230878532</v>
      </c>
      <c r="AO17" s="4">
        <f>+AM17-AN17</f>
        <v>12971050</v>
      </c>
      <c r="AP17" s="43">
        <f t="shared" ref="AP17:AP23" si="29">+AO17/AM17</f>
        <v>5.3192832620890036E-2</v>
      </c>
      <c r="AQ17" s="34">
        <f t="shared" si="16"/>
        <v>-731548749.34543312</v>
      </c>
      <c r="AR17" s="36"/>
      <c r="AS17" s="36"/>
      <c r="AT17" s="2"/>
      <c r="AU17" s="2"/>
    </row>
    <row r="18" spans="1:54" ht="45" hidden="1" x14ac:dyDescent="0.25">
      <c r="A18" s="21" t="s">
        <v>65</v>
      </c>
      <c r="B18" s="4">
        <v>0</v>
      </c>
      <c r="C18" s="4">
        <v>0</v>
      </c>
      <c r="D18" s="4"/>
      <c r="E18" s="4">
        <f t="shared" si="20"/>
        <v>0</v>
      </c>
      <c r="F18" s="4">
        <v>0</v>
      </c>
      <c r="G18" s="4"/>
      <c r="H18" s="4">
        <f t="shared" si="0"/>
        <v>0</v>
      </c>
      <c r="I18" s="4">
        <f>+'202401anual'!E16</f>
        <v>0</v>
      </c>
      <c r="J18" s="4"/>
      <c r="K18" s="4">
        <f t="shared" si="1"/>
        <v>0</v>
      </c>
      <c r="L18" s="4"/>
      <c r="M18" s="4"/>
      <c r="N18" s="4">
        <f t="shared" si="21"/>
        <v>0</v>
      </c>
      <c r="O18" s="4"/>
      <c r="P18" s="4"/>
      <c r="Q18" s="4">
        <f t="shared" si="22"/>
        <v>0</v>
      </c>
      <c r="R18" s="4"/>
      <c r="S18" s="4"/>
      <c r="T18" s="4">
        <f t="shared" si="23"/>
        <v>0</v>
      </c>
      <c r="U18" s="4"/>
      <c r="V18" s="4"/>
      <c r="W18" s="4">
        <f t="shared" si="24"/>
        <v>0</v>
      </c>
      <c r="X18" s="4"/>
      <c r="Y18" s="4"/>
      <c r="Z18" s="4">
        <f t="shared" si="25"/>
        <v>0</v>
      </c>
      <c r="AA18" s="4"/>
      <c r="AB18" s="4"/>
      <c r="AC18" s="4">
        <f t="shared" si="6"/>
        <v>0</v>
      </c>
      <c r="AD18" s="4"/>
      <c r="AE18" s="4"/>
      <c r="AF18" s="4">
        <f t="shared" si="26"/>
        <v>0</v>
      </c>
      <c r="AG18" s="4"/>
      <c r="AH18" s="4"/>
      <c r="AI18" s="4">
        <f t="shared" ref="AI18:AI26" si="30">+AG18-AH18</f>
        <v>0</v>
      </c>
      <c r="AJ18" s="4"/>
      <c r="AK18" s="4"/>
      <c r="AL18" s="4">
        <f t="shared" si="9"/>
        <v>0</v>
      </c>
      <c r="AM18" s="4">
        <f t="shared" si="27"/>
        <v>0</v>
      </c>
      <c r="AN18" s="4">
        <f t="shared" si="28"/>
        <v>0</v>
      </c>
      <c r="AO18" s="4">
        <f t="shared" ref="AO18:AO23" si="31">+AM18-AN18</f>
        <v>0</v>
      </c>
      <c r="AP18" s="43" t="e">
        <f t="shared" si="29"/>
        <v>#DIV/0!</v>
      </c>
      <c r="AQ18" s="34">
        <f t="shared" si="16"/>
        <v>0</v>
      </c>
      <c r="AR18" s="36"/>
      <c r="AS18" s="36"/>
      <c r="AT18" s="2"/>
      <c r="AU18" s="2"/>
    </row>
    <row r="19" spans="1:54" x14ac:dyDescent="0.25">
      <c r="A19" s="5" t="s">
        <v>9</v>
      </c>
      <c r="B19" s="4">
        <f>+'202401anual'!B17</f>
        <v>247000000</v>
      </c>
      <c r="C19" s="4">
        <v>8000000</v>
      </c>
      <c r="D19" s="4">
        <v>0</v>
      </c>
      <c r="E19" s="4">
        <f t="shared" si="20"/>
        <v>8000000</v>
      </c>
      <c r="F19" s="4">
        <v>20000000</v>
      </c>
      <c r="G19" s="4">
        <v>0</v>
      </c>
      <c r="H19" s="4">
        <f t="shared" si="0"/>
        <v>20000000</v>
      </c>
      <c r="I19" s="4">
        <f>+'202401anual'!E17-12000000</f>
        <v>0</v>
      </c>
      <c r="J19" s="4">
        <v>0</v>
      </c>
      <c r="K19" s="4">
        <f t="shared" si="1"/>
        <v>0</v>
      </c>
      <c r="L19" s="4"/>
      <c r="M19" s="4"/>
      <c r="N19" s="4">
        <f t="shared" si="21"/>
        <v>0</v>
      </c>
      <c r="O19" s="4"/>
      <c r="P19" s="4"/>
      <c r="Q19" s="4">
        <f t="shared" si="22"/>
        <v>0</v>
      </c>
      <c r="R19" s="4"/>
      <c r="S19" s="4"/>
      <c r="T19" s="4">
        <f t="shared" si="23"/>
        <v>0</v>
      </c>
      <c r="U19" s="4"/>
      <c r="V19" s="4"/>
      <c r="W19" s="4">
        <f t="shared" si="24"/>
        <v>0</v>
      </c>
      <c r="X19" s="4"/>
      <c r="Y19" s="4"/>
      <c r="Z19" s="4">
        <f t="shared" si="25"/>
        <v>0</v>
      </c>
      <c r="AA19" s="4"/>
      <c r="AB19" s="4"/>
      <c r="AC19" s="4">
        <f t="shared" si="6"/>
        <v>0</v>
      </c>
      <c r="AD19" s="4"/>
      <c r="AE19" s="4"/>
      <c r="AF19" s="4">
        <f t="shared" si="26"/>
        <v>0</v>
      </c>
      <c r="AG19" s="4"/>
      <c r="AH19" s="4"/>
      <c r="AI19" s="4">
        <f t="shared" si="30"/>
        <v>0</v>
      </c>
      <c r="AJ19" s="4"/>
      <c r="AK19" s="4"/>
      <c r="AL19" s="4">
        <f t="shared" si="9"/>
        <v>0</v>
      </c>
      <c r="AM19" s="4">
        <f>+C19+F19+I19+L19+O19+R19+U19+X19+AA19+AD19+AG19+AJ19</f>
        <v>28000000</v>
      </c>
      <c r="AN19" s="4">
        <f t="shared" si="28"/>
        <v>0</v>
      </c>
      <c r="AO19" s="4">
        <f t="shared" si="31"/>
        <v>28000000</v>
      </c>
      <c r="AP19" s="43">
        <f t="shared" si="29"/>
        <v>1</v>
      </c>
      <c r="AQ19" s="34">
        <f t="shared" si="16"/>
        <v>-219000000</v>
      </c>
      <c r="AR19" s="36"/>
      <c r="AS19" s="36"/>
      <c r="AT19" s="2"/>
      <c r="AU19" s="37"/>
      <c r="AV19" s="20"/>
      <c r="AW19" s="20"/>
      <c r="AX19" s="20"/>
      <c r="AY19" s="20"/>
      <c r="AZ19" s="20"/>
    </row>
    <row r="20" spans="1:54" x14ac:dyDescent="0.25">
      <c r="A20" s="5" t="s">
        <v>8</v>
      </c>
      <c r="B20" s="4">
        <f>+'202401anual'!B27</f>
        <v>1310640000</v>
      </c>
      <c r="C20" s="4">
        <v>4220000</v>
      </c>
      <c r="D20" s="4">
        <v>0</v>
      </c>
      <c r="E20" s="4">
        <f t="shared" si="20"/>
        <v>4220000</v>
      </c>
      <c r="F20" s="4">
        <v>34220000</v>
      </c>
      <c r="G20" s="4">
        <v>0</v>
      </c>
      <c r="H20" s="4">
        <f t="shared" si="0"/>
        <v>34220000</v>
      </c>
      <c r="I20" s="4">
        <f>+'202401anual'!E27-34220000</f>
        <v>0</v>
      </c>
      <c r="J20" s="4">
        <v>0</v>
      </c>
      <c r="K20" s="4">
        <f t="shared" si="1"/>
        <v>0</v>
      </c>
      <c r="L20" s="4"/>
      <c r="M20" s="4"/>
      <c r="N20" s="4">
        <f t="shared" si="21"/>
        <v>0</v>
      </c>
      <c r="O20" s="4"/>
      <c r="P20" s="4"/>
      <c r="Q20" s="4">
        <f t="shared" si="22"/>
        <v>0</v>
      </c>
      <c r="R20" s="4"/>
      <c r="S20" s="4"/>
      <c r="T20" s="4">
        <f t="shared" si="23"/>
        <v>0</v>
      </c>
      <c r="U20" s="4"/>
      <c r="V20" s="4"/>
      <c r="W20" s="4">
        <f t="shared" si="24"/>
        <v>0</v>
      </c>
      <c r="X20" s="4"/>
      <c r="Y20" s="4"/>
      <c r="Z20" s="4">
        <f t="shared" si="25"/>
        <v>0</v>
      </c>
      <c r="AA20" s="4"/>
      <c r="AB20" s="4"/>
      <c r="AC20" s="4">
        <f t="shared" si="6"/>
        <v>0</v>
      </c>
      <c r="AD20" s="4"/>
      <c r="AE20" s="4"/>
      <c r="AF20" s="4">
        <f t="shared" si="26"/>
        <v>0</v>
      </c>
      <c r="AG20" s="4"/>
      <c r="AH20" s="4"/>
      <c r="AI20" s="4">
        <f t="shared" si="30"/>
        <v>0</v>
      </c>
      <c r="AJ20" s="4"/>
      <c r="AK20" s="4"/>
      <c r="AL20" s="4">
        <f t="shared" si="9"/>
        <v>0</v>
      </c>
      <c r="AM20" s="4">
        <f>+C20+F20+I20+L20+O20+R20+U20+X20+AA20+AD20+AG20+AJ20</f>
        <v>38440000</v>
      </c>
      <c r="AN20" s="4">
        <f t="shared" si="28"/>
        <v>0</v>
      </c>
      <c r="AO20" s="4">
        <f t="shared" si="31"/>
        <v>38440000</v>
      </c>
      <c r="AP20" s="43">
        <f t="shared" si="29"/>
        <v>1</v>
      </c>
      <c r="AQ20" s="34">
        <f t="shared" si="16"/>
        <v>-1272200000</v>
      </c>
      <c r="AR20" s="36"/>
      <c r="AS20" s="2"/>
      <c r="AU20" s="37"/>
      <c r="AV20" s="20"/>
      <c r="AW20" s="20"/>
      <c r="AX20" s="20"/>
      <c r="AY20" s="20"/>
      <c r="AZ20" s="20"/>
    </row>
    <row r="21" spans="1:54" hidden="1" x14ac:dyDescent="0.25">
      <c r="A21" s="5" t="s">
        <v>10</v>
      </c>
      <c r="B21" s="4">
        <v>0</v>
      </c>
      <c r="C21" s="4">
        <v>0</v>
      </c>
      <c r="D21" s="4">
        <v>0</v>
      </c>
      <c r="E21" s="4">
        <f t="shared" si="20"/>
        <v>0</v>
      </c>
      <c r="F21" s="4"/>
      <c r="G21" s="4"/>
      <c r="H21" s="4">
        <f t="shared" si="0"/>
        <v>0</v>
      </c>
      <c r="I21" s="4">
        <f>+'202401anual'!E19</f>
        <v>0</v>
      </c>
      <c r="J21" s="4"/>
      <c r="K21" s="4">
        <f t="shared" si="1"/>
        <v>0</v>
      </c>
      <c r="L21" s="4"/>
      <c r="M21" s="4"/>
      <c r="N21" s="4">
        <f t="shared" si="21"/>
        <v>0</v>
      </c>
      <c r="O21" s="4"/>
      <c r="P21" s="4"/>
      <c r="Q21" s="4">
        <f t="shared" si="22"/>
        <v>0</v>
      </c>
      <c r="R21" s="4"/>
      <c r="S21" s="4"/>
      <c r="T21" s="4">
        <f t="shared" si="23"/>
        <v>0</v>
      </c>
      <c r="U21" s="4"/>
      <c r="V21" s="4"/>
      <c r="W21" s="4">
        <f t="shared" si="24"/>
        <v>0</v>
      </c>
      <c r="X21" s="4"/>
      <c r="Y21" s="4"/>
      <c r="Z21" s="4">
        <f t="shared" si="25"/>
        <v>0</v>
      </c>
      <c r="AA21" s="4"/>
      <c r="AB21" s="4"/>
      <c r="AC21" s="4">
        <f t="shared" si="6"/>
        <v>0</v>
      </c>
      <c r="AD21" s="4"/>
      <c r="AE21" s="4"/>
      <c r="AF21" s="4">
        <f t="shared" si="26"/>
        <v>0</v>
      </c>
      <c r="AG21" s="4"/>
      <c r="AH21" s="4"/>
      <c r="AI21" s="4">
        <f t="shared" si="30"/>
        <v>0</v>
      </c>
      <c r="AJ21" s="4"/>
      <c r="AK21" s="4"/>
      <c r="AL21" s="4">
        <f t="shared" si="9"/>
        <v>0</v>
      </c>
      <c r="AM21" s="4">
        <f t="shared" si="27"/>
        <v>0</v>
      </c>
      <c r="AN21" s="4">
        <f t="shared" si="28"/>
        <v>0</v>
      </c>
      <c r="AO21" s="4">
        <f t="shared" si="31"/>
        <v>0</v>
      </c>
      <c r="AP21" s="43">
        <v>0</v>
      </c>
      <c r="AQ21" s="34">
        <f t="shared" si="16"/>
        <v>0</v>
      </c>
      <c r="AR21" s="36"/>
      <c r="AS21" s="36"/>
      <c r="AT21" s="2"/>
      <c r="AU21" s="37"/>
      <c r="AV21" s="20"/>
      <c r="AW21" s="20"/>
      <c r="AX21" s="20"/>
      <c r="AY21" s="20"/>
      <c r="AZ21" s="20"/>
    </row>
    <row r="22" spans="1:54" hidden="1" x14ac:dyDescent="0.25">
      <c r="A22" s="5" t="s">
        <v>11</v>
      </c>
      <c r="B22" s="4">
        <v>0</v>
      </c>
      <c r="C22" s="4">
        <v>0</v>
      </c>
      <c r="D22" s="4">
        <v>0</v>
      </c>
      <c r="E22" s="4">
        <f t="shared" si="20"/>
        <v>0</v>
      </c>
      <c r="F22" s="4"/>
      <c r="G22" s="4"/>
      <c r="H22" s="4">
        <f t="shared" si="0"/>
        <v>0</v>
      </c>
      <c r="I22" s="4">
        <f>+'202401anual'!E20</f>
        <v>0</v>
      </c>
      <c r="J22" s="4"/>
      <c r="K22" s="4">
        <f t="shared" si="1"/>
        <v>0</v>
      </c>
      <c r="L22" s="4"/>
      <c r="M22" s="4"/>
      <c r="N22" s="4">
        <f t="shared" si="21"/>
        <v>0</v>
      </c>
      <c r="O22" s="4"/>
      <c r="P22" s="4"/>
      <c r="Q22" s="4">
        <f t="shared" si="22"/>
        <v>0</v>
      </c>
      <c r="R22" s="4"/>
      <c r="S22" s="4"/>
      <c r="T22" s="4">
        <f t="shared" si="23"/>
        <v>0</v>
      </c>
      <c r="U22" s="4"/>
      <c r="V22" s="4"/>
      <c r="W22" s="4">
        <f t="shared" si="24"/>
        <v>0</v>
      </c>
      <c r="X22" s="4"/>
      <c r="Y22" s="4"/>
      <c r="Z22" s="4">
        <f t="shared" si="25"/>
        <v>0</v>
      </c>
      <c r="AA22" s="4"/>
      <c r="AB22" s="4"/>
      <c r="AC22" s="4">
        <f t="shared" si="6"/>
        <v>0</v>
      </c>
      <c r="AD22" s="4"/>
      <c r="AE22" s="4"/>
      <c r="AF22" s="4">
        <f t="shared" si="26"/>
        <v>0</v>
      </c>
      <c r="AG22" s="4"/>
      <c r="AH22" s="4"/>
      <c r="AI22" s="4">
        <f t="shared" si="30"/>
        <v>0</v>
      </c>
      <c r="AJ22" s="4"/>
      <c r="AK22" s="4"/>
      <c r="AL22" s="4">
        <f t="shared" si="9"/>
        <v>0</v>
      </c>
      <c r="AM22" s="4">
        <f t="shared" si="27"/>
        <v>0</v>
      </c>
      <c r="AN22" s="4">
        <f t="shared" si="28"/>
        <v>0</v>
      </c>
      <c r="AO22" s="4">
        <f t="shared" si="31"/>
        <v>0</v>
      </c>
      <c r="AP22" s="43" t="e">
        <f t="shared" si="29"/>
        <v>#DIV/0!</v>
      </c>
      <c r="AQ22" s="34">
        <f t="shared" si="16"/>
        <v>0</v>
      </c>
      <c r="AR22" s="36"/>
      <c r="AS22" s="36"/>
      <c r="AT22" s="2"/>
      <c r="AU22" s="37"/>
      <c r="AV22" s="20"/>
      <c r="AW22" s="20"/>
      <c r="AX22" s="20"/>
      <c r="AY22" s="20"/>
      <c r="AZ22" s="20"/>
    </row>
    <row r="23" spans="1:54" x14ac:dyDescent="0.25">
      <c r="A23" s="5" t="s">
        <v>12</v>
      </c>
      <c r="B23" s="4">
        <f>+'202401anual'!B36</f>
        <v>646180000</v>
      </c>
      <c r="C23" s="4">
        <v>46765000</v>
      </c>
      <c r="D23" s="4">
        <f>681340+8239458</f>
        <v>8920798</v>
      </c>
      <c r="E23" s="4">
        <f t="shared" si="20"/>
        <v>37844202</v>
      </c>
      <c r="F23" s="4">
        <v>46765000</v>
      </c>
      <c r="G23" s="4">
        <v>23742140</v>
      </c>
      <c r="H23" s="4">
        <f t="shared" si="0"/>
        <v>23022860</v>
      </c>
      <c r="I23" s="4">
        <f>+'202401anual'!E36-40000000</f>
        <v>16765000</v>
      </c>
      <c r="J23" s="4">
        <v>10981286</v>
      </c>
      <c r="K23" s="4">
        <f t="shared" si="1"/>
        <v>5783714</v>
      </c>
      <c r="L23" s="4"/>
      <c r="M23" s="4"/>
      <c r="N23" s="4">
        <f t="shared" si="21"/>
        <v>0</v>
      </c>
      <c r="O23" s="4"/>
      <c r="P23" s="4"/>
      <c r="Q23" s="4">
        <f t="shared" si="22"/>
        <v>0</v>
      </c>
      <c r="R23" s="4"/>
      <c r="S23" s="4"/>
      <c r="T23" s="4">
        <f t="shared" si="23"/>
        <v>0</v>
      </c>
      <c r="U23" s="4"/>
      <c r="V23" s="4"/>
      <c r="W23" s="4">
        <f t="shared" si="24"/>
        <v>0</v>
      </c>
      <c r="X23" s="4"/>
      <c r="Y23" s="4"/>
      <c r="Z23" s="4">
        <f t="shared" si="25"/>
        <v>0</v>
      </c>
      <c r="AA23" s="4"/>
      <c r="AB23" s="4"/>
      <c r="AC23" s="4">
        <f t="shared" si="6"/>
        <v>0</v>
      </c>
      <c r="AD23" s="4"/>
      <c r="AE23" s="4"/>
      <c r="AF23" s="4">
        <f t="shared" si="26"/>
        <v>0</v>
      </c>
      <c r="AG23" s="4"/>
      <c r="AH23" s="4"/>
      <c r="AI23" s="4">
        <f t="shared" si="30"/>
        <v>0</v>
      </c>
      <c r="AJ23" s="4"/>
      <c r="AK23" s="4"/>
      <c r="AL23" s="4">
        <f t="shared" si="9"/>
        <v>0</v>
      </c>
      <c r="AM23" s="4">
        <f t="shared" si="27"/>
        <v>110295000</v>
      </c>
      <c r="AN23" s="4">
        <f t="shared" si="28"/>
        <v>43644224</v>
      </c>
      <c r="AO23" s="4">
        <f t="shared" si="31"/>
        <v>66650776</v>
      </c>
      <c r="AP23" s="43">
        <f t="shared" si="29"/>
        <v>0.60429553470238906</v>
      </c>
      <c r="AQ23" s="34">
        <f t="shared" si="16"/>
        <v>-535885000</v>
      </c>
      <c r="AR23" s="36"/>
      <c r="AS23" s="36"/>
      <c r="AT23" s="2"/>
      <c r="AU23" s="37"/>
      <c r="AV23" s="20"/>
      <c r="AW23" s="20"/>
      <c r="AX23" s="20"/>
      <c r="AY23" s="20"/>
      <c r="AZ23" s="20"/>
    </row>
    <row r="24" spans="1:54" x14ac:dyDescent="0.25">
      <c r="A24" s="12" t="s">
        <v>13</v>
      </c>
      <c r="B24" s="8">
        <f>SUM(B17:B23)</f>
        <v>3179218331.3454332</v>
      </c>
      <c r="C24" s="8">
        <f>SUM(C17:C23)</f>
        <v>140268194</v>
      </c>
      <c r="D24" s="8">
        <f t="shared" ref="D24:AL24" si="32">SUM(D17:D23)</f>
        <v>89265348</v>
      </c>
      <c r="E24" s="8">
        <f t="shared" si="32"/>
        <v>51002846</v>
      </c>
      <c r="F24" s="8">
        <f>SUM(F17:F23)</f>
        <v>182268194</v>
      </c>
      <c r="G24" s="49">
        <f t="shared" si="32"/>
        <v>96098334</v>
      </c>
      <c r="H24" s="8">
        <f t="shared" si="32"/>
        <v>86169860</v>
      </c>
      <c r="I24" s="7">
        <f t="shared" si="32"/>
        <v>98048194</v>
      </c>
      <c r="J24" s="8">
        <f t="shared" si="32"/>
        <v>89159074</v>
      </c>
      <c r="K24" s="8">
        <f t="shared" si="32"/>
        <v>8889120</v>
      </c>
      <c r="L24" s="8">
        <f t="shared" ref="L24:N24" si="33">SUM(L17:L23)</f>
        <v>0</v>
      </c>
      <c r="M24" s="8">
        <f t="shared" si="33"/>
        <v>0</v>
      </c>
      <c r="N24" s="8">
        <f t="shared" si="33"/>
        <v>0</v>
      </c>
      <c r="O24" s="8">
        <f t="shared" si="32"/>
        <v>0</v>
      </c>
      <c r="P24" s="8">
        <f t="shared" si="32"/>
        <v>0</v>
      </c>
      <c r="Q24" s="8">
        <f t="shared" ref="Q24" si="34">SUM(Q17:Q23)</f>
        <v>0</v>
      </c>
      <c r="R24" s="8"/>
      <c r="S24" s="8">
        <f t="shared" ref="S24:W24" si="35">SUM(S17:S23)</f>
        <v>0</v>
      </c>
      <c r="T24" s="8">
        <f t="shared" si="35"/>
        <v>0</v>
      </c>
      <c r="U24" s="8">
        <f t="shared" si="35"/>
        <v>0</v>
      </c>
      <c r="V24" s="49">
        <f>SUM(V17:V23)</f>
        <v>0</v>
      </c>
      <c r="W24" s="8">
        <f t="shared" si="35"/>
        <v>0</v>
      </c>
      <c r="X24" s="8">
        <f t="shared" ref="X24" si="36">SUM(X17:X23)</f>
        <v>0</v>
      </c>
      <c r="Y24" s="8">
        <f>SUM(Y17:Y23)</f>
        <v>0</v>
      </c>
      <c r="Z24" s="8">
        <f t="shared" ref="Z24" si="37">SUM(Z17:Z23)</f>
        <v>0</v>
      </c>
      <c r="AA24" s="8">
        <f t="shared" si="32"/>
        <v>0</v>
      </c>
      <c r="AB24" s="8">
        <f t="shared" si="32"/>
        <v>0</v>
      </c>
      <c r="AC24" s="8">
        <f t="shared" si="32"/>
        <v>0</v>
      </c>
      <c r="AD24" s="8">
        <f t="shared" si="32"/>
        <v>0</v>
      </c>
      <c r="AE24" s="8">
        <f t="shared" si="32"/>
        <v>0</v>
      </c>
      <c r="AF24" s="8">
        <f t="shared" si="32"/>
        <v>0</v>
      </c>
      <c r="AG24" s="8">
        <f t="shared" si="32"/>
        <v>0</v>
      </c>
      <c r="AH24" s="8">
        <f t="shared" si="32"/>
        <v>0</v>
      </c>
      <c r="AI24" s="8">
        <f t="shared" si="32"/>
        <v>0</v>
      </c>
      <c r="AJ24" s="8">
        <f t="shared" si="32"/>
        <v>0</v>
      </c>
      <c r="AK24" s="8">
        <f t="shared" si="32"/>
        <v>0</v>
      </c>
      <c r="AL24" s="8">
        <f t="shared" si="32"/>
        <v>0</v>
      </c>
      <c r="AM24" s="8">
        <f>SUM(AM17:AM23)</f>
        <v>420584582</v>
      </c>
      <c r="AN24" s="8">
        <f t="shared" ref="AN24:AO24" si="38">SUM(AN17:AN23)</f>
        <v>274522756</v>
      </c>
      <c r="AO24" s="8">
        <f t="shared" si="38"/>
        <v>146061826</v>
      </c>
      <c r="AP24" s="31">
        <f>+AO24/AM24</f>
        <v>0.34728288256653211</v>
      </c>
      <c r="AQ24" s="34">
        <f t="shared" si="16"/>
        <v>-2758633749.3454332</v>
      </c>
      <c r="AR24" s="50" t="e">
        <f>AI24/AG24*100</f>
        <v>#DIV/0!</v>
      </c>
      <c r="AS24" s="35"/>
      <c r="AT24" s="51">
        <f>+K24/I24*100</f>
        <v>9.0660721399927056</v>
      </c>
      <c r="AV24" s="20"/>
      <c r="AW24" s="20"/>
      <c r="AX24" s="20"/>
      <c r="AY24" s="20"/>
    </row>
    <row r="25" spans="1:54" x14ac:dyDescent="0.25">
      <c r="A25" s="5" t="s">
        <v>35</v>
      </c>
      <c r="B25" s="4">
        <v>45053763.229277767</v>
      </c>
      <c r="C25" s="4">
        <v>3754480.2691064808</v>
      </c>
      <c r="D25" s="4">
        <v>4199364</v>
      </c>
      <c r="E25" s="4">
        <f t="shared" si="20"/>
        <v>-444883.73089351924</v>
      </c>
      <c r="F25" s="4">
        <v>3754480.2691064808</v>
      </c>
      <c r="G25" s="4">
        <v>3938549</v>
      </c>
      <c r="H25" s="4">
        <f t="shared" ref="H25:H26" si="39">+F25-G25</f>
        <v>-184068.73089351924</v>
      </c>
      <c r="I25" s="4">
        <f>+'202401anual'!E45</f>
        <v>3754480.2691064808</v>
      </c>
      <c r="J25" s="4">
        <v>4526964</v>
      </c>
      <c r="K25" s="4">
        <f t="shared" si="1"/>
        <v>-772483.73089351924</v>
      </c>
      <c r="L25" s="4"/>
      <c r="M25" s="4"/>
      <c r="N25" s="4">
        <f t="shared" ref="N25:N26" si="40">+L25-M25</f>
        <v>0</v>
      </c>
      <c r="O25" s="4"/>
      <c r="P25" s="4"/>
      <c r="Q25" s="4">
        <f t="shared" ref="Q25:Q26" si="41">+O25-P25</f>
        <v>0</v>
      </c>
      <c r="R25" s="4"/>
      <c r="S25" s="4"/>
      <c r="T25" s="4">
        <f t="shared" ref="T25:T26" si="42">+R25-S25</f>
        <v>0</v>
      </c>
      <c r="U25" s="4"/>
      <c r="V25" s="4"/>
      <c r="W25" s="4">
        <f t="shared" ref="W25:W26" si="43">+U25-V25</f>
        <v>0</v>
      </c>
      <c r="X25" s="4"/>
      <c r="Y25" s="4"/>
      <c r="Z25" s="4">
        <f t="shared" ref="Z25:Z26" si="44">+X25-Y25</f>
        <v>0</v>
      </c>
      <c r="AA25" s="4"/>
      <c r="AB25" s="4"/>
      <c r="AC25" s="4">
        <f t="shared" si="6"/>
        <v>0</v>
      </c>
      <c r="AD25" s="4"/>
      <c r="AE25" s="4"/>
      <c r="AF25" s="4">
        <f t="shared" ref="AF25:AF26" si="45">+AD25-AE25</f>
        <v>0</v>
      </c>
      <c r="AG25" s="4"/>
      <c r="AH25" s="4"/>
      <c r="AI25" s="4">
        <f t="shared" si="30"/>
        <v>0</v>
      </c>
      <c r="AJ25" s="4"/>
      <c r="AK25" s="4"/>
      <c r="AL25" s="4">
        <f t="shared" si="9"/>
        <v>0</v>
      </c>
      <c r="AM25" s="4">
        <f t="shared" ref="AM25:AM26" si="46">+C25+F25+I25+L25+O25+R25+U25+X25+AA25+AD25+AG25+AJ25</f>
        <v>11263440.807319442</v>
      </c>
      <c r="AN25" s="4">
        <f t="shared" ref="AN25:AN26" si="47">+D25+G25+J25+M25+P25+S25+V25+Y25+AB25+AE25+AH25+AK25</f>
        <v>12664877</v>
      </c>
      <c r="AO25" s="4">
        <f t="shared" ref="AO25:AO26" si="48">+AM25-AN25</f>
        <v>-1401436.1926805582</v>
      </c>
      <c r="AP25" s="43">
        <f t="shared" ref="AP25:AP26" si="49">+AO25/AM25</f>
        <v>-0.1244234525359114</v>
      </c>
      <c r="AQ25" s="34">
        <f t="shared" si="16"/>
        <v>-33790322.421958327</v>
      </c>
      <c r="AR25" s="38"/>
      <c r="AS25" s="38"/>
      <c r="AT25" s="2"/>
      <c r="AV25" s="20"/>
      <c r="AW25" s="20"/>
      <c r="AX25" s="20"/>
      <c r="AY25" s="20"/>
    </row>
    <row r="26" spans="1:54" x14ac:dyDescent="0.25">
      <c r="A26" s="5" t="s">
        <v>14</v>
      </c>
      <c r="B26" s="4">
        <v>95000000</v>
      </c>
      <c r="C26" s="4">
        <v>0</v>
      </c>
      <c r="D26" s="4">
        <v>31618</v>
      </c>
      <c r="E26" s="4">
        <f t="shared" si="20"/>
        <v>-31618</v>
      </c>
      <c r="F26" s="4">
        <v>50000000</v>
      </c>
      <c r="G26" s="4">
        <v>31516</v>
      </c>
      <c r="H26" s="4">
        <f t="shared" si="39"/>
        <v>49968484</v>
      </c>
      <c r="I26" s="52">
        <f>+'202401anual'!E46-20000000</f>
        <v>0</v>
      </c>
      <c r="J26" s="4">
        <v>6011801</v>
      </c>
      <c r="K26" s="4">
        <f t="shared" si="1"/>
        <v>-6011801</v>
      </c>
      <c r="L26" s="4"/>
      <c r="M26" s="4"/>
      <c r="N26" s="4">
        <f t="shared" si="40"/>
        <v>0</v>
      </c>
      <c r="O26" s="4"/>
      <c r="P26" s="4"/>
      <c r="Q26" s="4">
        <f t="shared" si="41"/>
        <v>0</v>
      </c>
      <c r="R26" s="4"/>
      <c r="S26" s="4"/>
      <c r="T26" s="4">
        <f t="shared" si="42"/>
        <v>0</v>
      </c>
      <c r="U26" s="4"/>
      <c r="V26" s="4"/>
      <c r="W26" s="4">
        <f t="shared" si="43"/>
        <v>0</v>
      </c>
      <c r="X26" s="4"/>
      <c r="Y26" s="4"/>
      <c r="Z26" s="4">
        <f t="shared" si="44"/>
        <v>0</v>
      </c>
      <c r="AA26" s="4"/>
      <c r="AB26" s="4"/>
      <c r="AC26" s="4">
        <f t="shared" si="6"/>
        <v>0</v>
      </c>
      <c r="AD26" s="4"/>
      <c r="AE26" s="4"/>
      <c r="AF26" s="4">
        <f t="shared" si="45"/>
        <v>0</v>
      </c>
      <c r="AG26" s="4"/>
      <c r="AH26" s="4"/>
      <c r="AI26" s="4">
        <f t="shared" si="30"/>
        <v>0</v>
      </c>
      <c r="AJ26" s="4">
        <f>+'202401anual'!N46</f>
        <v>0</v>
      </c>
      <c r="AK26" s="4"/>
      <c r="AL26" s="4">
        <f t="shared" si="9"/>
        <v>0</v>
      </c>
      <c r="AM26" s="4">
        <f t="shared" si="46"/>
        <v>50000000</v>
      </c>
      <c r="AN26" s="4">
        <f t="shared" si="47"/>
        <v>6074935</v>
      </c>
      <c r="AO26" s="4">
        <f t="shared" si="48"/>
        <v>43925065</v>
      </c>
      <c r="AP26" s="43">
        <f t="shared" si="49"/>
        <v>0.87850130000000004</v>
      </c>
      <c r="AQ26" s="34">
        <f t="shared" si="16"/>
        <v>-45000000</v>
      </c>
      <c r="AR26" s="48"/>
      <c r="AS26" s="38"/>
      <c r="AT26" s="2"/>
      <c r="AV26" s="20"/>
      <c r="AW26" s="20"/>
      <c r="AX26" s="20"/>
      <c r="AY26" s="20"/>
    </row>
    <row r="27" spans="1:54" x14ac:dyDescent="0.25">
      <c r="A27" s="12" t="s">
        <v>15</v>
      </c>
      <c r="B27" s="8">
        <f>SUM(B25:B26)</f>
        <v>140053763.22927776</v>
      </c>
      <c r="C27" s="8">
        <f>SUM(C25:C26)</f>
        <v>3754480.2691064808</v>
      </c>
      <c r="D27" s="8">
        <f t="shared" ref="D27:AJ27" si="50">SUM(D25:D26)</f>
        <v>4230982</v>
      </c>
      <c r="E27" s="8">
        <f t="shared" si="50"/>
        <v>-476501.73089351924</v>
      </c>
      <c r="F27" s="8">
        <f>SUM(F25:F26)</f>
        <v>53754480.269106477</v>
      </c>
      <c r="G27" s="49">
        <f t="shared" si="50"/>
        <v>3970065</v>
      </c>
      <c r="H27" s="8">
        <f t="shared" si="50"/>
        <v>49784415.269106477</v>
      </c>
      <c r="I27" s="7">
        <f t="shared" si="50"/>
        <v>3754480.2691064808</v>
      </c>
      <c r="J27" s="7">
        <f t="shared" si="50"/>
        <v>10538765</v>
      </c>
      <c r="K27" s="8">
        <f t="shared" ref="K27:L27" si="51">SUM(K25:K26)</f>
        <v>-6784284.7308935188</v>
      </c>
      <c r="L27" s="8">
        <f t="shared" si="51"/>
        <v>0</v>
      </c>
      <c r="M27" s="8">
        <f t="shared" ref="M27:N27" si="52">SUM(M25:M26)</f>
        <v>0</v>
      </c>
      <c r="N27" s="8">
        <f t="shared" si="52"/>
        <v>0</v>
      </c>
      <c r="O27" s="8">
        <f t="shared" si="50"/>
        <v>0</v>
      </c>
      <c r="P27" s="8">
        <f t="shared" ref="P27" si="53">SUM(P25:P26)</f>
        <v>0</v>
      </c>
      <c r="Q27" s="8">
        <f t="shared" ref="Q27" si="54">SUM(Q25:Q26)</f>
        <v>0</v>
      </c>
      <c r="R27" s="8"/>
      <c r="S27" s="8">
        <f t="shared" si="50"/>
        <v>0</v>
      </c>
      <c r="T27" s="8">
        <f t="shared" si="50"/>
        <v>0</v>
      </c>
      <c r="U27" s="8"/>
      <c r="V27" s="8">
        <f t="shared" ref="V27:W27" si="55">SUM(V25:V26)</f>
        <v>0</v>
      </c>
      <c r="W27" s="8">
        <f t="shared" si="55"/>
        <v>0</v>
      </c>
      <c r="X27" s="8"/>
      <c r="Y27" s="8">
        <f t="shared" ref="Y27:Z27" si="56">SUM(Y25:Y26)</f>
        <v>0</v>
      </c>
      <c r="Z27" s="8">
        <f t="shared" si="56"/>
        <v>0</v>
      </c>
      <c r="AA27" s="8">
        <f t="shared" si="50"/>
        <v>0</v>
      </c>
      <c r="AB27" s="8">
        <f t="shared" ref="AB27:AC27" si="57">SUM(AB25:AB26)</f>
        <v>0</v>
      </c>
      <c r="AC27" s="8">
        <f t="shared" si="57"/>
        <v>0</v>
      </c>
      <c r="AD27" s="8">
        <f t="shared" si="50"/>
        <v>0</v>
      </c>
      <c r="AE27" s="8">
        <f t="shared" ref="AE27:AF27" si="58">SUM(AE25:AE26)</f>
        <v>0</v>
      </c>
      <c r="AF27" s="8">
        <f t="shared" si="58"/>
        <v>0</v>
      </c>
      <c r="AG27" s="8">
        <f t="shared" si="50"/>
        <v>0</v>
      </c>
      <c r="AH27" s="8">
        <f t="shared" ref="AH27:AI27" si="59">SUM(AH25:AH26)</f>
        <v>0</v>
      </c>
      <c r="AI27" s="8">
        <f t="shared" si="59"/>
        <v>0</v>
      </c>
      <c r="AJ27" s="8">
        <f t="shared" si="50"/>
        <v>0</v>
      </c>
      <c r="AK27" s="8">
        <f t="shared" ref="AK27:AL27" si="60">SUM(AK25:AK26)</f>
        <v>0</v>
      </c>
      <c r="AL27" s="8">
        <f t="shared" si="60"/>
        <v>0</v>
      </c>
      <c r="AM27" s="8">
        <f t="shared" ref="AM27:AO27" si="61">SUM(AM25:AM26)</f>
        <v>61263440.80731944</v>
      </c>
      <c r="AN27" s="8">
        <f t="shared" si="61"/>
        <v>18739812</v>
      </c>
      <c r="AO27" s="8">
        <f t="shared" si="61"/>
        <v>42523628.80731944</v>
      </c>
      <c r="AP27" s="31">
        <f>+AO27/AM27</f>
        <v>0.6941110105300996</v>
      </c>
      <c r="AQ27" s="34">
        <f t="shared" si="16"/>
        <v>-78790322.421958327</v>
      </c>
      <c r="AR27" s="50" t="e">
        <f>AI27/AG27*100</f>
        <v>#DIV/0!</v>
      </c>
      <c r="AS27" s="36"/>
      <c r="AT27" s="51">
        <f>+K27/I27*100</f>
        <v>-180.69837220127658</v>
      </c>
      <c r="AV27" s="20"/>
      <c r="AW27" s="20"/>
      <c r="AX27" s="20"/>
      <c r="AY27" s="20"/>
    </row>
    <row r="28" spans="1:54" x14ac:dyDescent="0.25">
      <c r="A28" s="12" t="s">
        <v>1</v>
      </c>
      <c r="B28" s="8">
        <f>+B27+B24</f>
        <v>3319272094.5747108</v>
      </c>
      <c r="C28" s="8">
        <f>+C27+C24</f>
        <v>144022674.26910648</v>
      </c>
      <c r="D28" s="8">
        <f t="shared" ref="D28:AO28" si="62">+D27+D24</f>
        <v>93496330</v>
      </c>
      <c r="E28" s="8">
        <f t="shared" si="62"/>
        <v>50526344.269106477</v>
      </c>
      <c r="F28" s="8">
        <f>+F27+F24</f>
        <v>236022674.26910648</v>
      </c>
      <c r="G28" s="49">
        <f t="shared" si="62"/>
        <v>100068399</v>
      </c>
      <c r="H28" s="8">
        <f t="shared" si="62"/>
        <v>135954275.26910648</v>
      </c>
      <c r="I28" s="7">
        <f t="shared" si="62"/>
        <v>101802674.26910648</v>
      </c>
      <c r="J28" s="8">
        <f t="shared" ref="J28:L28" si="63">+J27+J24</f>
        <v>99697839</v>
      </c>
      <c r="K28" s="8">
        <f t="shared" si="63"/>
        <v>2104835.2691064812</v>
      </c>
      <c r="L28" s="8">
        <f t="shared" si="63"/>
        <v>0</v>
      </c>
      <c r="M28" s="8">
        <f t="shared" ref="M28:N28" si="64">+M27+M24</f>
        <v>0</v>
      </c>
      <c r="N28" s="8">
        <f t="shared" si="64"/>
        <v>0</v>
      </c>
      <c r="O28" s="8">
        <f t="shared" si="62"/>
        <v>0</v>
      </c>
      <c r="P28" s="8">
        <f t="shared" ref="P28" si="65">+P27+P24</f>
        <v>0</v>
      </c>
      <c r="Q28" s="8">
        <f t="shared" ref="Q28" si="66">+Q27+Q24</f>
        <v>0</v>
      </c>
      <c r="R28" s="8"/>
      <c r="S28" s="8">
        <f t="shared" si="62"/>
        <v>0</v>
      </c>
      <c r="T28" s="8">
        <f t="shared" si="62"/>
        <v>0</v>
      </c>
      <c r="U28" s="8">
        <f t="shared" si="62"/>
        <v>0</v>
      </c>
      <c r="V28" s="8">
        <f t="shared" si="62"/>
        <v>0</v>
      </c>
      <c r="W28" s="8">
        <f t="shared" si="62"/>
        <v>0</v>
      </c>
      <c r="X28" s="8">
        <f t="shared" ref="X28:Z28" si="67">+X27+X24</f>
        <v>0</v>
      </c>
      <c r="Y28" s="8">
        <f t="shared" si="67"/>
        <v>0</v>
      </c>
      <c r="Z28" s="8">
        <f t="shared" si="67"/>
        <v>0</v>
      </c>
      <c r="AA28" s="8">
        <f t="shared" si="62"/>
        <v>0</v>
      </c>
      <c r="AB28" s="8">
        <f t="shared" ref="AB28:AC28" si="68">+AB27+AB24</f>
        <v>0</v>
      </c>
      <c r="AC28" s="8">
        <f t="shared" si="68"/>
        <v>0</v>
      </c>
      <c r="AD28" s="8">
        <f t="shared" si="62"/>
        <v>0</v>
      </c>
      <c r="AE28" s="8">
        <f t="shared" ref="AE28:AF28" si="69">+AE27+AE24</f>
        <v>0</v>
      </c>
      <c r="AF28" s="8">
        <f t="shared" si="69"/>
        <v>0</v>
      </c>
      <c r="AG28" s="8">
        <f t="shared" si="62"/>
        <v>0</v>
      </c>
      <c r="AH28" s="8">
        <f t="shared" ref="AH28:AI28" si="70">+AH27+AH24</f>
        <v>0</v>
      </c>
      <c r="AI28" s="8">
        <f t="shared" si="70"/>
        <v>0</v>
      </c>
      <c r="AJ28" s="8">
        <f t="shared" si="62"/>
        <v>0</v>
      </c>
      <c r="AK28" s="8">
        <f t="shared" ref="AK28:AL28" si="71">+AK27+AK24</f>
        <v>0</v>
      </c>
      <c r="AL28" s="8">
        <f t="shared" si="71"/>
        <v>0</v>
      </c>
      <c r="AM28" s="8">
        <f t="shared" si="62"/>
        <v>481848022.80731946</v>
      </c>
      <c r="AN28" s="8">
        <f t="shared" si="62"/>
        <v>293262568</v>
      </c>
      <c r="AO28" s="8">
        <f t="shared" si="62"/>
        <v>188585454.80731943</v>
      </c>
      <c r="AP28" s="31">
        <f>+AO28/AM28</f>
        <v>0.39137953437806394</v>
      </c>
      <c r="AQ28" s="34">
        <f t="shared" si="16"/>
        <v>-2837424071.7673912</v>
      </c>
      <c r="AR28" s="50" t="e">
        <f>AI28/AG28*100</f>
        <v>#DIV/0!</v>
      </c>
      <c r="AS28" s="35"/>
      <c r="AT28" s="51">
        <f>+K28/I28*100</f>
        <v>2.0675638279820951</v>
      </c>
      <c r="AU28" s="2"/>
      <c r="AV28" s="20"/>
      <c r="AW28" s="20"/>
      <c r="AX28" s="20"/>
      <c r="AY28" s="20"/>
      <c r="BB28" s="56"/>
    </row>
    <row r="29" spans="1:54" x14ac:dyDescent="0.25">
      <c r="A29" s="22" t="s">
        <v>58</v>
      </c>
      <c r="B29" s="4">
        <v>1348189693.8599594</v>
      </c>
      <c r="C29" s="4">
        <v>112349141.15499662</v>
      </c>
      <c r="D29" s="4">
        <v>98571937</v>
      </c>
      <c r="E29" s="4">
        <f t="shared" ref="E29:E97" si="72">+C29-D29</f>
        <v>13777204.154996619</v>
      </c>
      <c r="F29" s="4">
        <v>112349141.15499662</v>
      </c>
      <c r="G29" s="4">
        <v>93757863</v>
      </c>
      <c r="H29" s="4">
        <f t="shared" ref="H29:H97" si="73">+F29-G29</f>
        <v>18591278.154996619</v>
      </c>
      <c r="I29" s="4">
        <f>+'202401anual'!D49</f>
        <v>112349141.15499662</v>
      </c>
      <c r="J29" s="4">
        <v>99596096.230000004</v>
      </c>
      <c r="K29" s="4">
        <f t="shared" ref="K29:K49" si="74">+I29-J29</f>
        <v>12753044.924996614</v>
      </c>
      <c r="L29" s="4"/>
      <c r="M29" s="4"/>
      <c r="N29" s="4">
        <f t="shared" ref="N29:N35" si="75">+L29-M29</f>
        <v>0</v>
      </c>
      <c r="O29" s="4"/>
      <c r="P29" s="4"/>
      <c r="Q29" s="4">
        <f t="shared" ref="Q29:Q35" si="76">+O29-P29</f>
        <v>0</v>
      </c>
      <c r="R29" s="4"/>
      <c r="S29" s="4"/>
      <c r="T29" s="4">
        <f t="shared" ref="T29:T35" si="77">+R29-S29</f>
        <v>0</v>
      </c>
      <c r="U29" s="4"/>
      <c r="V29" s="4"/>
      <c r="W29" s="4">
        <f t="shared" ref="W29:W35" si="78">+U29-V29</f>
        <v>0</v>
      </c>
      <c r="X29" s="4"/>
      <c r="Y29" s="4"/>
      <c r="Z29" s="4">
        <f t="shared" ref="Z29:Z35" si="79">+X29-Y29</f>
        <v>0</v>
      </c>
      <c r="AA29" s="4"/>
      <c r="AB29" s="4"/>
      <c r="AC29" s="4">
        <f t="shared" ref="AC29:AC35" si="80">+AA29-AB29</f>
        <v>0</v>
      </c>
      <c r="AD29" s="4"/>
      <c r="AE29" s="4"/>
      <c r="AF29" s="4">
        <f t="shared" ref="AF29:AF97" si="81">+AD29-AE29</f>
        <v>0</v>
      </c>
      <c r="AG29" s="4"/>
      <c r="AH29" s="4"/>
      <c r="AI29" s="4">
        <f t="shared" ref="AI29:AI97" si="82">+AG29-AH29</f>
        <v>0</v>
      </c>
      <c r="AJ29" s="4"/>
      <c r="AK29" s="4"/>
      <c r="AL29" s="4">
        <f t="shared" ref="AL29:AL97" si="83">+AJ29-AK29</f>
        <v>0</v>
      </c>
      <c r="AM29" s="4">
        <f t="shared" ref="AM29:AM49" si="84">+C29+F29+I29+L29+O29+R29+U29+X29+AA29+AD29+AG29+AJ29</f>
        <v>337047423.46498984</v>
      </c>
      <c r="AN29" s="4">
        <f t="shared" ref="AN29:AN49" si="85">+D29+G29+J29+M29+P29+S29+V29+Y29+AB29+AE29+AH29+AK29</f>
        <v>291925896.23000002</v>
      </c>
      <c r="AO29" s="4">
        <f t="shared" ref="AO29:AO49" si="86">+AM29-AN29</f>
        <v>45121527.234989822</v>
      </c>
      <c r="AP29" s="43">
        <f>+AO29/AM29*100</f>
        <v>13.387293328375415</v>
      </c>
      <c r="AQ29" s="34">
        <f t="shared" si="16"/>
        <v>-1011142270.3949695</v>
      </c>
      <c r="AR29" s="38"/>
      <c r="AS29" s="38"/>
      <c r="AT29" s="2"/>
      <c r="AU29" s="37"/>
      <c r="AV29" s="20"/>
      <c r="AW29" s="20"/>
      <c r="AX29" s="20"/>
      <c r="AY29" s="20"/>
    </row>
    <row r="30" spans="1:54" ht="45" hidden="1" x14ac:dyDescent="0.25">
      <c r="A30" s="21" t="s">
        <v>65</v>
      </c>
      <c r="B30" s="4">
        <v>0</v>
      </c>
      <c r="C30" s="4">
        <v>0</v>
      </c>
      <c r="D30" s="4"/>
      <c r="E30" s="4"/>
      <c r="F30" s="4"/>
      <c r="G30" s="10"/>
      <c r="H30" s="4">
        <f t="shared" si="73"/>
        <v>0</v>
      </c>
      <c r="I30" s="4"/>
      <c r="J30" s="10"/>
      <c r="K30" s="4">
        <f t="shared" si="74"/>
        <v>0</v>
      </c>
      <c r="L30" s="4">
        <f>+'202401anual'!F50</f>
        <v>0</v>
      </c>
      <c r="M30" s="4"/>
      <c r="N30" s="4">
        <f t="shared" si="75"/>
        <v>0</v>
      </c>
      <c r="O30" s="4">
        <f>+'202401anual'!G50</f>
        <v>0</v>
      </c>
      <c r="P30" s="10">
        <v>0</v>
      </c>
      <c r="Q30" s="4">
        <f t="shared" si="76"/>
        <v>0</v>
      </c>
      <c r="R30" s="4"/>
      <c r="S30" s="10"/>
      <c r="T30" s="4">
        <f t="shared" si="77"/>
        <v>0</v>
      </c>
      <c r="U30" s="4"/>
      <c r="V30" s="4"/>
      <c r="W30" s="4">
        <f t="shared" si="78"/>
        <v>0</v>
      </c>
      <c r="X30" s="4"/>
      <c r="Y30" s="4"/>
      <c r="Z30" s="4">
        <f t="shared" si="79"/>
        <v>0</v>
      </c>
      <c r="AA30" s="4"/>
      <c r="AB30" s="4"/>
      <c r="AC30" s="4">
        <f t="shared" si="80"/>
        <v>0</v>
      </c>
      <c r="AD30" s="4"/>
      <c r="AE30" s="10"/>
      <c r="AF30" s="4">
        <f t="shared" si="81"/>
        <v>0</v>
      </c>
      <c r="AG30" s="4"/>
      <c r="AH30" s="10"/>
      <c r="AI30" s="4">
        <f t="shared" si="82"/>
        <v>0</v>
      </c>
      <c r="AJ30" s="4"/>
      <c r="AK30" s="10"/>
      <c r="AL30" s="4">
        <f t="shared" si="83"/>
        <v>0</v>
      </c>
      <c r="AM30" s="4">
        <f t="shared" si="84"/>
        <v>0</v>
      </c>
      <c r="AN30" s="4">
        <f t="shared" si="85"/>
        <v>0</v>
      </c>
      <c r="AO30" s="4">
        <f t="shared" si="86"/>
        <v>0</v>
      </c>
      <c r="AP30" s="43" t="e">
        <f t="shared" ref="AP30:AP49" si="87">+AO30/AM30*100</f>
        <v>#DIV/0!</v>
      </c>
      <c r="AQ30" s="34">
        <f t="shared" si="16"/>
        <v>0</v>
      </c>
      <c r="AR30" s="38"/>
      <c r="AS30" s="38"/>
      <c r="AT30" s="2"/>
      <c r="AU30" s="37"/>
      <c r="AV30" s="20"/>
      <c r="AW30" s="20"/>
    </row>
    <row r="31" spans="1:54" x14ac:dyDescent="0.25">
      <c r="A31" s="5" t="s">
        <v>16</v>
      </c>
      <c r="B31" s="4">
        <f>+'202401anual'!B51</f>
        <v>23027616</v>
      </c>
      <c r="C31" s="4">
        <v>26027616</v>
      </c>
      <c r="D31" s="4"/>
      <c r="E31" s="4">
        <f t="shared" si="72"/>
        <v>26027616</v>
      </c>
      <c r="F31" s="4">
        <v>0</v>
      </c>
      <c r="G31" s="4">
        <v>0</v>
      </c>
      <c r="H31" s="4">
        <f t="shared" si="73"/>
        <v>0</v>
      </c>
      <c r="I31" s="4">
        <f>+'202401anual'!E51</f>
        <v>0</v>
      </c>
      <c r="J31" s="4">
        <v>0</v>
      </c>
      <c r="K31" s="4">
        <f t="shared" si="74"/>
        <v>0</v>
      </c>
      <c r="L31" s="4"/>
      <c r="M31" s="4"/>
      <c r="N31" s="4">
        <f t="shared" si="75"/>
        <v>0</v>
      </c>
      <c r="O31" s="4">
        <f>+'202401anual'!G51</f>
        <v>0</v>
      </c>
      <c r="P31" s="4"/>
      <c r="Q31" s="4">
        <f t="shared" si="76"/>
        <v>0</v>
      </c>
      <c r="R31" s="4"/>
      <c r="S31" s="4"/>
      <c r="T31" s="4">
        <f t="shared" si="77"/>
        <v>0</v>
      </c>
      <c r="U31" s="4"/>
      <c r="V31" s="4"/>
      <c r="W31" s="4">
        <f t="shared" si="78"/>
        <v>0</v>
      </c>
      <c r="X31" s="4"/>
      <c r="Y31" s="4"/>
      <c r="Z31" s="4">
        <f t="shared" si="79"/>
        <v>0</v>
      </c>
      <c r="AA31" s="4"/>
      <c r="AB31" s="4"/>
      <c r="AC31" s="4">
        <f t="shared" si="80"/>
        <v>0</v>
      </c>
      <c r="AD31" s="4"/>
      <c r="AE31" s="4"/>
      <c r="AF31" s="4">
        <f t="shared" si="81"/>
        <v>0</v>
      </c>
      <c r="AG31" s="4"/>
      <c r="AH31" s="4"/>
      <c r="AI31" s="4">
        <f t="shared" si="82"/>
        <v>0</v>
      </c>
      <c r="AJ31" s="4"/>
      <c r="AK31" s="4"/>
      <c r="AL31" s="4">
        <f t="shared" si="83"/>
        <v>0</v>
      </c>
      <c r="AM31" s="4">
        <f t="shared" si="84"/>
        <v>26027616</v>
      </c>
      <c r="AN31" s="4">
        <f t="shared" si="85"/>
        <v>0</v>
      </c>
      <c r="AO31" s="4">
        <f t="shared" si="86"/>
        <v>26027616</v>
      </c>
      <c r="AP31" s="43">
        <f t="shared" si="87"/>
        <v>100</v>
      </c>
      <c r="AQ31" s="34">
        <f t="shared" si="16"/>
        <v>3000000</v>
      </c>
      <c r="AR31" s="38"/>
      <c r="AS31" s="38"/>
      <c r="AT31" s="2"/>
      <c r="AU31" s="2"/>
    </row>
    <row r="32" spans="1:54" x14ac:dyDescent="0.25">
      <c r="A32" s="5" t="s">
        <v>17</v>
      </c>
      <c r="B32" s="4">
        <f>+'202401anual'!B54</f>
        <v>576470000</v>
      </c>
      <c r="C32" s="4">
        <v>61474815</v>
      </c>
      <c r="D32" s="4"/>
      <c r="E32" s="4">
        <f t="shared" si="72"/>
        <v>61474815</v>
      </c>
      <c r="F32" s="4">
        <v>59412573</v>
      </c>
      <c r="G32" s="4"/>
      <c r="H32" s="4">
        <f t="shared" si="73"/>
        <v>59412573</v>
      </c>
      <c r="I32" s="4">
        <f>+'202401anual'!E54</f>
        <v>0</v>
      </c>
      <c r="J32" s="4">
        <v>0</v>
      </c>
      <c r="K32" s="4">
        <f t="shared" si="74"/>
        <v>0</v>
      </c>
      <c r="L32" s="4"/>
      <c r="M32" s="4"/>
      <c r="N32" s="4">
        <f t="shared" si="75"/>
        <v>0</v>
      </c>
      <c r="O32" s="4"/>
      <c r="P32" s="4"/>
      <c r="Q32" s="4">
        <f t="shared" si="76"/>
        <v>0</v>
      </c>
      <c r="R32" s="4"/>
      <c r="S32" s="4"/>
      <c r="T32" s="4">
        <f t="shared" si="77"/>
        <v>0</v>
      </c>
      <c r="U32" s="4"/>
      <c r="V32" s="4"/>
      <c r="W32" s="4">
        <f t="shared" si="78"/>
        <v>0</v>
      </c>
      <c r="X32" s="4"/>
      <c r="Y32" s="4"/>
      <c r="Z32" s="4">
        <f t="shared" si="79"/>
        <v>0</v>
      </c>
      <c r="AA32" s="4"/>
      <c r="AB32" s="4"/>
      <c r="AC32" s="4">
        <f t="shared" si="80"/>
        <v>0</v>
      </c>
      <c r="AD32" s="4"/>
      <c r="AE32" s="4"/>
      <c r="AF32" s="4">
        <f t="shared" si="81"/>
        <v>0</v>
      </c>
      <c r="AG32" s="4"/>
      <c r="AH32" s="4"/>
      <c r="AI32" s="4">
        <f t="shared" si="82"/>
        <v>0</v>
      </c>
      <c r="AJ32" s="4"/>
      <c r="AK32" s="4"/>
      <c r="AL32" s="4">
        <f t="shared" si="83"/>
        <v>0</v>
      </c>
      <c r="AM32" s="4">
        <f t="shared" si="84"/>
        <v>120887388</v>
      </c>
      <c r="AN32" s="4">
        <f t="shared" si="85"/>
        <v>0</v>
      </c>
      <c r="AO32" s="4">
        <f t="shared" si="86"/>
        <v>120887388</v>
      </c>
      <c r="AP32" s="43">
        <f t="shared" si="87"/>
        <v>100</v>
      </c>
      <c r="AQ32" s="34">
        <f t="shared" si="16"/>
        <v>-455582612</v>
      </c>
      <c r="AR32" s="38"/>
      <c r="AS32" s="38"/>
      <c r="AT32" s="2"/>
      <c r="AU32" s="2"/>
    </row>
    <row r="33" spans="1:54" x14ac:dyDescent="0.25">
      <c r="A33" s="5" t="s">
        <v>7</v>
      </c>
      <c r="B33" s="4">
        <f>+'202401anual'!B58</f>
        <v>395764999.57200003</v>
      </c>
      <c r="C33" s="4">
        <v>39598775.880999997</v>
      </c>
      <c r="D33" s="4"/>
      <c r="E33" s="4">
        <f t="shared" si="72"/>
        <v>39598775.880999997</v>
      </c>
      <c r="F33" s="4">
        <v>50098775.880999997</v>
      </c>
      <c r="G33" s="4">
        <v>5720000</v>
      </c>
      <c r="H33" s="4">
        <f t="shared" si="73"/>
        <v>44378775.880999997</v>
      </c>
      <c r="I33" s="4">
        <f>+'202401anual'!E58-6000000</f>
        <v>0</v>
      </c>
      <c r="J33" s="4">
        <v>0</v>
      </c>
      <c r="K33" s="4">
        <f t="shared" si="74"/>
        <v>0</v>
      </c>
      <c r="L33" s="4"/>
      <c r="M33" s="4"/>
      <c r="N33" s="4">
        <f t="shared" si="75"/>
        <v>0</v>
      </c>
      <c r="O33" s="4"/>
      <c r="P33" s="4"/>
      <c r="Q33" s="4">
        <f t="shared" si="76"/>
        <v>0</v>
      </c>
      <c r="R33" s="4"/>
      <c r="S33" s="4"/>
      <c r="T33" s="4">
        <f t="shared" si="77"/>
        <v>0</v>
      </c>
      <c r="U33" s="4"/>
      <c r="V33" s="4"/>
      <c r="W33" s="4">
        <f t="shared" si="78"/>
        <v>0</v>
      </c>
      <c r="X33" s="4"/>
      <c r="Y33" s="4"/>
      <c r="Z33" s="4">
        <f t="shared" si="79"/>
        <v>0</v>
      </c>
      <c r="AA33" s="4"/>
      <c r="AB33" s="4"/>
      <c r="AC33" s="4">
        <f t="shared" si="80"/>
        <v>0</v>
      </c>
      <c r="AD33" s="4"/>
      <c r="AE33" s="4"/>
      <c r="AF33" s="4">
        <f t="shared" si="81"/>
        <v>0</v>
      </c>
      <c r="AG33" s="4"/>
      <c r="AH33" s="4"/>
      <c r="AI33" s="4">
        <f t="shared" si="82"/>
        <v>0</v>
      </c>
      <c r="AJ33" s="4"/>
      <c r="AK33" s="4"/>
      <c r="AL33" s="4">
        <f t="shared" si="83"/>
        <v>0</v>
      </c>
      <c r="AM33" s="4">
        <f t="shared" si="84"/>
        <v>89697551.761999995</v>
      </c>
      <c r="AN33" s="4">
        <f t="shared" si="85"/>
        <v>5720000</v>
      </c>
      <c r="AO33" s="4">
        <f t="shared" si="86"/>
        <v>83977551.761999995</v>
      </c>
      <c r="AP33" s="43">
        <f t="shared" si="87"/>
        <v>93.62301435475382</v>
      </c>
      <c r="AQ33" s="34">
        <f t="shared" si="16"/>
        <v>-306067447.81000006</v>
      </c>
      <c r="AR33" s="38"/>
      <c r="AS33" s="38"/>
      <c r="AT33" s="2"/>
      <c r="AU33" s="2"/>
    </row>
    <row r="34" spans="1:54" x14ac:dyDescent="0.25">
      <c r="A34" s="5" t="s">
        <v>57</v>
      </c>
      <c r="B34" s="4">
        <v>100020000</v>
      </c>
      <c r="C34" s="4">
        <v>615000</v>
      </c>
      <c r="D34" s="4">
        <f>2167423+271918</f>
        <v>2439341</v>
      </c>
      <c r="E34" s="4">
        <f t="shared" si="72"/>
        <v>-1824341</v>
      </c>
      <c r="F34" s="4">
        <v>2115000</v>
      </c>
      <c r="G34" s="4">
        <v>466655</v>
      </c>
      <c r="H34" s="4">
        <f t="shared" si="73"/>
        <v>1648345</v>
      </c>
      <c r="I34" s="4">
        <f>+'202401anual'!E72</f>
        <v>1755000</v>
      </c>
      <c r="J34" s="4">
        <v>3699437</v>
      </c>
      <c r="K34" s="4">
        <f t="shared" si="74"/>
        <v>-1944437</v>
      </c>
      <c r="L34" s="4"/>
      <c r="M34" s="4"/>
      <c r="N34" s="4">
        <f t="shared" si="75"/>
        <v>0</v>
      </c>
      <c r="O34" s="4"/>
      <c r="P34" s="4"/>
      <c r="Q34" s="4">
        <f t="shared" si="76"/>
        <v>0</v>
      </c>
      <c r="R34" s="4"/>
      <c r="S34" s="4"/>
      <c r="T34" s="4">
        <f t="shared" si="77"/>
        <v>0</v>
      </c>
      <c r="U34" s="4"/>
      <c r="V34" s="4"/>
      <c r="W34" s="4">
        <f t="shared" si="78"/>
        <v>0</v>
      </c>
      <c r="X34" s="4"/>
      <c r="Y34" s="4"/>
      <c r="Z34" s="4">
        <f t="shared" si="79"/>
        <v>0</v>
      </c>
      <c r="AA34" s="4"/>
      <c r="AB34" s="4"/>
      <c r="AC34" s="4">
        <f t="shared" si="80"/>
        <v>0</v>
      </c>
      <c r="AD34" s="4"/>
      <c r="AE34" s="4"/>
      <c r="AF34" s="4">
        <f t="shared" si="81"/>
        <v>0</v>
      </c>
      <c r="AG34" s="4"/>
      <c r="AH34" s="4"/>
      <c r="AI34" s="4">
        <f t="shared" si="82"/>
        <v>0</v>
      </c>
      <c r="AJ34" s="4"/>
      <c r="AK34" s="4"/>
      <c r="AL34" s="4">
        <f t="shared" si="83"/>
        <v>0</v>
      </c>
      <c r="AM34" s="4">
        <f t="shared" si="84"/>
        <v>4485000</v>
      </c>
      <c r="AN34" s="4">
        <f t="shared" si="85"/>
        <v>6605433</v>
      </c>
      <c r="AO34" s="4">
        <f t="shared" si="86"/>
        <v>-2120433</v>
      </c>
      <c r="AP34" s="43">
        <f t="shared" si="87"/>
        <v>-47.278327759197325</v>
      </c>
      <c r="AQ34" s="34">
        <f t="shared" si="16"/>
        <v>-95535000</v>
      </c>
      <c r="AR34" s="38"/>
      <c r="AS34" s="38"/>
      <c r="AT34" s="2"/>
      <c r="AU34" s="2"/>
    </row>
    <row r="35" spans="1:54" hidden="1" x14ac:dyDescent="0.25">
      <c r="A35" s="5" t="s">
        <v>66</v>
      </c>
      <c r="B35" s="4">
        <v>0</v>
      </c>
      <c r="C35" s="4">
        <v>0</v>
      </c>
      <c r="D35" s="4"/>
      <c r="E35" s="4"/>
      <c r="F35" s="4"/>
      <c r="G35" s="4"/>
      <c r="H35" s="4"/>
      <c r="I35" s="4"/>
      <c r="J35" s="4"/>
      <c r="K35" s="4">
        <f t="shared" si="74"/>
        <v>0</v>
      </c>
      <c r="L35" s="4">
        <f>+'202401anual'!F79</f>
        <v>0</v>
      </c>
      <c r="M35" s="4">
        <v>0</v>
      </c>
      <c r="N35" s="4">
        <f t="shared" si="75"/>
        <v>0</v>
      </c>
      <c r="O35" s="4">
        <f>+'202401anual'!G79</f>
        <v>0</v>
      </c>
      <c r="P35" s="4">
        <v>0</v>
      </c>
      <c r="Q35" s="4">
        <f t="shared" si="76"/>
        <v>0</v>
      </c>
      <c r="R35" s="4">
        <f>+'202401anual'!H79</f>
        <v>0</v>
      </c>
      <c r="S35" s="4">
        <v>0</v>
      </c>
      <c r="T35" s="4">
        <f t="shared" si="77"/>
        <v>0</v>
      </c>
      <c r="U35" s="4">
        <f>+'202401anual'!I79</f>
        <v>0</v>
      </c>
      <c r="V35" s="4">
        <v>0</v>
      </c>
      <c r="W35" s="4">
        <f t="shared" si="78"/>
        <v>0</v>
      </c>
      <c r="X35" s="4">
        <f>+'202401anual'!J79</f>
        <v>0</v>
      </c>
      <c r="Y35" s="4">
        <v>0</v>
      </c>
      <c r="Z35" s="4">
        <f t="shared" si="79"/>
        <v>0</v>
      </c>
      <c r="AA35" s="4">
        <f>+'202401anual'!K79</f>
        <v>0</v>
      </c>
      <c r="AB35" s="4"/>
      <c r="AC35" s="4">
        <f t="shared" si="80"/>
        <v>0</v>
      </c>
      <c r="AD35" s="4"/>
      <c r="AE35" s="4"/>
      <c r="AF35" s="4">
        <f t="shared" si="81"/>
        <v>0</v>
      </c>
      <c r="AG35" s="4"/>
      <c r="AH35" s="4"/>
      <c r="AI35" s="4">
        <f t="shared" si="82"/>
        <v>0</v>
      </c>
      <c r="AJ35" s="4">
        <f>+'202401anual'!N79</f>
        <v>0</v>
      </c>
      <c r="AK35" s="4"/>
      <c r="AL35" s="4">
        <f t="shared" si="83"/>
        <v>0</v>
      </c>
      <c r="AM35" s="4">
        <f t="shared" si="84"/>
        <v>0</v>
      </c>
      <c r="AN35" s="4">
        <f t="shared" si="85"/>
        <v>0</v>
      </c>
      <c r="AO35" s="4">
        <f t="shared" si="86"/>
        <v>0</v>
      </c>
      <c r="AP35" s="43" t="e">
        <f t="shared" si="87"/>
        <v>#DIV/0!</v>
      </c>
      <c r="AQ35" s="34">
        <f t="shared" si="16"/>
        <v>0</v>
      </c>
      <c r="AR35" s="38"/>
      <c r="AS35" s="38"/>
      <c r="AT35" s="2"/>
      <c r="AU35" s="2"/>
    </row>
    <row r="36" spans="1:54" x14ac:dyDescent="0.25">
      <c r="A36" s="12" t="s">
        <v>52</v>
      </c>
      <c r="B36" s="8">
        <f t="shared" ref="B36:AO36" si="88">SUM(B29:B35)</f>
        <v>2443472309.4319592</v>
      </c>
      <c r="C36" s="8">
        <f t="shared" si="88"/>
        <v>240065348.03599662</v>
      </c>
      <c r="D36" s="8">
        <f t="shared" si="88"/>
        <v>101011278</v>
      </c>
      <c r="E36" s="8">
        <f t="shared" si="88"/>
        <v>139054070.03599662</v>
      </c>
      <c r="F36" s="8">
        <f t="shared" si="88"/>
        <v>223975490.03599662</v>
      </c>
      <c r="G36" s="49">
        <f t="shared" si="88"/>
        <v>99944518</v>
      </c>
      <c r="H36" s="8">
        <f t="shared" si="88"/>
        <v>124030972.03599662</v>
      </c>
      <c r="I36" s="7">
        <f t="shared" si="88"/>
        <v>114104141.15499662</v>
      </c>
      <c r="J36" s="8">
        <f t="shared" si="88"/>
        <v>103295533.23</v>
      </c>
      <c r="K36" s="8">
        <f t="shared" si="88"/>
        <v>10808607.924996614</v>
      </c>
      <c r="L36" s="8">
        <f t="shared" si="88"/>
        <v>0</v>
      </c>
      <c r="M36" s="8">
        <f t="shared" si="88"/>
        <v>0</v>
      </c>
      <c r="N36" s="8">
        <f t="shared" si="88"/>
        <v>0</v>
      </c>
      <c r="O36" s="8">
        <f t="shared" si="88"/>
        <v>0</v>
      </c>
      <c r="P36" s="8">
        <f t="shared" si="88"/>
        <v>0</v>
      </c>
      <c r="Q36" s="8">
        <f t="shared" si="88"/>
        <v>0</v>
      </c>
      <c r="R36" s="8">
        <f t="shared" si="88"/>
        <v>0</v>
      </c>
      <c r="S36" s="8">
        <f t="shared" si="88"/>
        <v>0</v>
      </c>
      <c r="T36" s="8">
        <f t="shared" si="88"/>
        <v>0</v>
      </c>
      <c r="U36" s="8">
        <f t="shared" si="88"/>
        <v>0</v>
      </c>
      <c r="V36" s="8">
        <f t="shared" si="88"/>
        <v>0</v>
      </c>
      <c r="W36" s="8">
        <f t="shared" si="88"/>
        <v>0</v>
      </c>
      <c r="X36" s="8">
        <f t="shared" si="88"/>
        <v>0</v>
      </c>
      <c r="Y36" s="8">
        <f t="shared" si="88"/>
        <v>0</v>
      </c>
      <c r="Z36" s="8">
        <f t="shared" si="88"/>
        <v>0</v>
      </c>
      <c r="AA36" s="8">
        <f t="shared" si="88"/>
        <v>0</v>
      </c>
      <c r="AB36" s="8">
        <f t="shared" si="88"/>
        <v>0</v>
      </c>
      <c r="AC36" s="8">
        <f t="shared" si="88"/>
        <v>0</v>
      </c>
      <c r="AD36" s="8">
        <f t="shared" si="88"/>
        <v>0</v>
      </c>
      <c r="AE36" s="8">
        <f t="shared" si="88"/>
        <v>0</v>
      </c>
      <c r="AF36" s="8">
        <f t="shared" si="88"/>
        <v>0</v>
      </c>
      <c r="AG36" s="8">
        <f t="shared" si="88"/>
        <v>0</v>
      </c>
      <c r="AH36" s="8">
        <f t="shared" si="88"/>
        <v>0</v>
      </c>
      <c r="AI36" s="8">
        <f t="shared" si="88"/>
        <v>0</v>
      </c>
      <c r="AJ36" s="8">
        <f t="shared" si="88"/>
        <v>0</v>
      </c>
      <c r="AK36" s="8">
        <f t="shared" si="88"/>
        <v>0</v>
      </c>
      <c r="AL36" s="8">
        <f t="shared" si="88"/>
        <v>0</v>
      </c>
      <c r="AM36" s="8">
        <f t="shared" si="88"/>
        <v>578144979.22698987</v>
      </c>
      <c r="AN36" s="8">
        <f t="shared" si="88"/>
        <v>304251329.23000002</v>
      </c>
      <c r="AO36" s="8">
        <f t="shared" si="88"/>
        <v>273893649.99698985</v>
      </c>
      <c r="AP36" s="31">
        <f>+AO36/AM36</f>
        <v>0.47374561716889768</v>
      </c>
      <c r="AQ36" s="34">
        <f t="shared" si="16"/>
        <v>-1865327330.2049694</v>
      </c>
      <c r="AR36" s="50" t="e">
        <f>AI36/AG36*100</f>
        <v>#DIV/0!</v>
      </c>
      <c r="AS36" s="45"/>
      <c r="AT36" s="2"/>
      <c r="BA36" s="86">
        <f>+AP36-1</f>
        <v>-0.52625438283110237</v>
      </c>
      <c r="BB36" s="24"/>
    </row>
    <row r="37" spans="1:54" x14ac:dyDescent="0.25">
      <c r="A37" s="21" t="s">
        <v>55</v>
      </c>
      <c r="B37" s="4">
        <v>260086854.6773397</v>
      </c>
      <c r="C37" s="4">
        <v>21673904.556444976</v>
      </c>
      <c r="D37" s="4">
        <v>18308881.292999998</v>
      </c>
      <c r="E37" s="4">
        <f t="shared" si="72"/>
        <v>3365023.2634449787</v>
      </c>
      <c r="F37" s="4">
        <v>21673904.556444976</v>
      </c>
      <c r="G37" s="4">
        <v>17790867</v>
      </c>
      <c r="H37" s="4">
        <f t="shared" si="73"/>
        <v>3883037.5564449765</v>
      </c>
      <c r="I37" s="4">
        <f>+'202401anual'!E83</f>
        <v>21673904.556444976</v>
      </c>
      <c r="J37" s="4">
        <v>16912270</v>
      </c>
      <c r="K37" s="4">
        <f t="shared" si="74"/>
        <v>4761634.5564449765</v>
      </c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4">
        <f t="shared" si="84"/>
        <v>65021713.669334933</v>
      </c>
      <c r="AN37" s="4">
        <f t="shared" si="85"/>
        <v>53012018.292999998</v>
      </c>
      <c r="AO37" s="4">
        <f t="shared" si="86"/>
        <v>12009695.376334935</v>
      </c>
      <c r="AP37" s="43">
        <f t="shared" si="87"/>
        <v>18.470284307500282</v>
      </c>
      <c r="AQ37" s="34"/>
      <c r="AR37" s="50"/>
      <c r="AS37" s="45"/>
      <c r="AT37" s="51"/>
      <c r="BB37" s="24"/>
    </row>
    <row r="38" spans="1:54" x14ac:dyDescent="0.25">
      <c r="A38" s="21" t="str">
        <f>+'202401anual'!A84</f>
        <v>Contribuciones CRA-SUPER</v>
      </c>
      <c r="B38" s="4">
        <f>+'202401anual'!B84</f>
        <v>73400000</v>
      </c>
      <c r="C38" s="4">
        <v>0</v>
      </c>
      <c r="D38" s="4">
        <v>0</v>
      </c>
      <c r="E38" s="4">
        <f t="shared" si="72"/>
        <v>0</v>
      </c>
      <c r="F38" s="4">
        <v>0</v>
      </c>
      <c r="G38" s="4">
        <v>23430000</v>
      </c>
      <c r="H38" s="4">
        <f t="shared" si="73"/>
        <v>-23430000</v>
      </c>
      <c r="I38" s="49">
        <f>+'202401anual'!E84</f>
        <v>0</v>
      </c>
      <c r="J38" s="4">
        <v>0</v>
      </c>
      <c r="K38" s="4">
        <f t="shared" si="74"/>
        <v>0</v>
      </c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4">
        <f t="shared" si="84"/>
        <v>0</v>
      </c>
      <c r="AN38" s="4">
        <f t="shared" si="85"/>
        <v>23430000</v>
      </c>
      <c r="AO38" s="4">
        <f t="shared" si="86"/>
        <v>-23430000</v>
      </c>
      <c r="AP38" s="43" t="e">
        <f t="shared" si="87"/>
        <v>#DIV/0!</v>
      </c>
      <c r="AQ38" s="34"/>
      <c r="AR38" s="50"/>
      <c r="AS38" s="45"/>
      <c r="AT38" s="51"/>
      <c r="BB38" s="24"/>
    </row>
    <row r="39" spans="1:54" x14ac:dyDescent="0.25">
      <c r="A39" s="21" t="str">
        <f>+'202401anual'!A85</f>
        <v>Servicios software INTEGRIN</v>
      </c>
      <c r="B39" s="4">
        <f>+'202401anual'!B85</f>
        <v>3000000</v>
      </c>
      <c r="C39" s="4">
        <v>900000</v>
      </c>
      <c r="D39" s="4">
        <v>0</v>
      </c>
      <c r="E39" s="4">
        <f t="shared" si="72"/>
        <v>900000</v>
      </c>
      <c r="F39" s="4">
        <v>900000</v>
      </c>
      <c r="G39" s="4">
        <v>0</v>
      </c>
      <c r="H39" s="4">
        <f t="shared" si="73"/>
        <v>900000</v>
      </c>
      <c r="I39" s="49">
        <f>+'202401anual'!E85</f>
        <v>0</v>
      </c>
      <c r="J39" s="4">
        <v>0</v>
      </c>
      <c r="K39" s="4">
        <f t="shared" si="74"/>
        <v>0</v>
      </c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4">
        <f t="shared" si="84"/>
        <v>1800000</v>
      </c>
      <c r="AN39" s="4">
        <f t="shared" si="85"/>
        <v>0</v>
      </c>
      <c r="AO39" s="4">
        <f t="shared" si="86"/>
        <v>1800000</v>
      </c>
      <c r="AP39" s="43">
        <f t="shared" si="87"/>
        <v>100</v>
      </c>
      <c r="AQ39" s="34"/>
      <c r="AR39" s="50"/>
      <c r="AS39" s="45"/>
      <c r="AT39" s="2"/>
      <c r="BB39" s="24"/>
    </row>
    <row r="40" spans="1:54" x14ac:dyDescent="0.25">
      <c r="A40" s="21" t="str">
        <f>+'202401anual'!A93</f>
        <v>Dotación de papelería y facturación</v>
      </c>
      <c r="B40" s="4">
        <v>31500000</v>
      </c>
      <c r="C40" s="4">
        <v>0</v>
      </c>
      <c r="D40" s="4">
        <v>0</v>
      </c>
      <c r="E40" s="4">
        <f t="shared" si="72"/>
        <v>0</v>
      </c>
      <c r="F40" s="4">
        <v>0</v>
      </c>
      <c r="G40" s="4">
        <v>0</v>
      </c>
      <c r="H40" s="4">
        <f t="shared" si="73"/>
        <v>0</v>
      </c>
      <c r="I40" s="49">
        <f>+'202401anual'!E93</f>
        <v>0</v>
      </c>
      <c r="J40" s="4">
        <v>0</v>
      </c>
      <c r="K40" s="4">
        <f t="shared" si="74"/>
        <v>0</v>
      </c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4">
        <f t="shared" si="84"/>
        <v>0</v>
      </c>
      <c r="AN40" s="4">
        <f t="shared" si="85"/>
        <v>0</v>
      </c>
      <c r="AO40" s="4">
        <f t="shared" si="86"/>
        <v>0</v>
      </c>
      <c r="AP40" s="43" t="e">
        <f t="shared" si="87"/>
        <v>#DIV/0!</v>
      </c>
      <c r="AQ40" s="34"/>
      <c r="AR40" s="50"/>
      <c r="AS40" s="45"/>
      <c r="AT40" s="2"/>
      <c r="BB40" s="24"/>
    </row>
    <row r="41" spans="1:54" x14ac:dyDescent="0.25">
      <c r="A41" s="21" t="str">
        <f>+'202401anual'!A87</f>
        <v>Pagina WEB-Dominio actualizacion software</v>
      </c>
      <c r="B41" s="4">
        <v>369000</v>
      </c>
      <c r="C41" s="4">
        <v>0</v>
      </c>
      <c r="D41" s="4">
        <v>0</v>
      </c>
      <c r="E41" s="4">
        <f t="shared" si="72"/>
        <v>0</v>
      </c>
      <c r="F41" s="4">
        <v>0</v>
      </c>
      <c r="G41" s="4">
        <v>0</v>
      </c>
      <c r="H41" s="4">
        <f t="shared" si="73"/>
        <v>0</v>
      </c>
      <c r="I41" s="49">
        <f>+'202401anual'!E87</f>
        <v>0</v>
      </c>
      <c r="J41" s="4">
        <v>0</v>
      </c>
      <c r="K41" s="4">
        <f t="shared" si="74"/>
        <v>0</v>
      </c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4">
        <f t="shared" si="84"/>
        <v>0</v>
      </c>
      <c r="AN41" s="4">
        <f t="shared" si="85"/>
        <v>0</v>
      </c>
      <c r="AO41" s="4">
        <f t="shared" si="86"/>
        <v>0</v>
      </c>
      <c r="AP41" s="43" t="e">
        <f t="shared" si="87"/>
        <v>#DIV/0!</v>
      </c>
      <c r="AQ41" s="34"/>
      <c r="AR41" s="50"/>
      <c r="AS41" s="45"/>
      <c r="AT41" s="2"/>
      <c r="BB41" s="24"/>
    </row>
    <row r="42" spans="1:54" x14ac:dyDescent="0.25">
      <c r="A42" s="21" t="str">
        <f>+'202401anual'!A99</f>
        <v>Servicios personales de asesoría regulatoria, estudio de costos y tarifas</v>
      </c>
      <c r="B42" s="4">
        <f>+'202401anual'!B99</f>
        <v>8000000</v>
      </c>
      <c r="C42" s="4">
        <v>0</v>
      </c>
      <c r="D42" s="4">
        <v>0</v>
      </c>
      <c r="E42" s="4">
        <f t="shared" si="72"/>
        <v>0</v>
      </c>
      <c r="F42" s="4">
        <v>0</v>
      </c>
      <c r="G42" s="4">
        <v>0</v>
      </c>
      <c r="H42" s="4">
        <f t="shared" si="73"/>
        <v>0</v>
      </c>
      <c r="I42" s="49">
        <f>+'202401anual'!E99</f>
        <v>0</v>
      </c>
      <c r="J42" s="4">
        <v>0</v>
      </c>
      <c r="K42" s="4">
        <f t="shared" si="74"/>
        <v>0</v>
      </c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4">
        <f t="shared" si="84"/>
        <v>0</v>
      </c>
      <c r="AN42" s="4">
        <f t="shared" si="85"/>
        <v>0</v>
      </c>
      <c r="AO42" s="4">
        <f t="shared" si="86"/>
        <v>0</v>
      </c>
      <c r="AP42" s="43" t="e">
        <f t="shared" si="87"/>
        <v>#DIV/0!</v>
      </c>
      <c r="AQ42" s="34"/>
      <c r="AR42" s="50"/>
      <c r="AS42" s="45"/>
      <c r="AT42" s="2"/>
      <c r="BB42" s="24"/>
    </row>
    <row r="43" spans="1:54" x14ac:dyDescent="0.25">
      <c r="A43" s="21" t="str">
        <f>+'202401anual'!A101</f>
        <v>Otras compras y servicios</v>
      </c>
      <c r="B43" s="4">
        <v>30000000</v>
      </c>
      <c r="C43" s="4">
        <v>0</v>
      </c>
      <c r="D43" s="4">
        <v>0</v>
      </c>
      <c r="E43" s="4">
        <f t="shared" si="72"/>
        <v>0</v>
      </c>
      <c r="F43" s="4">
        <v>0</v>
      </c>
      <c r="G43" s="4">
        <v>0</v>
      </c>
      <c r="H43" s="4">
        <f t="shared" si="73"/>
        <v>0</v>
      </c>
      <c r="I43" s="49">
        <f>+'202401anual'!E101</f>
        <v>0</v>
      </c>
      <c r="J43" s="4">
        <v>0</v>
      </c>
      <c r="K43" s="4">
        <f t="shared" si="74"/>
        <v>0</v>
      </c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4">
        <f t="shared" si="84"/>
        <v>0</v>
      </c>
      <c r="AN43" s="4">
        <f t="shared" si="85"/>
        <v>0</v>
      </c>
      <c r="AO43" s="4">
        <f t="shared" si="86"/>
        <v>0</v>
      </c>
      <c r="AP43" s="43" t="e">
        <f t="shared" si="87"/>
        <v>#DIV/0!</v>
      </c>
      <c r="AQ43" s="34"/>
      <c r="AR43" s="50"/>
      <c r="AS43" s="45"/>
      <c r="AT43" s="2"/>
      <c r="BB43" s="24"/>
    </row>
    <row r="44" spans="1:54" x14ac:dyDescent="0.25">
      <c r="A44" s="21" t="str">
        <f>+'202401anual'!A104</f>
        <v>Plan de medios</v>
      </c>
      <c r="B44" s="4">
        <v>98500718</v>
      </c>
      <c r="C44" s="4">
        <v>8208393.166666667</v>
      </c>
      <c r="D44" s="4">
        <v>1539900</v>
      </c>
      <c r="E44" s="4">
        <f t="shared" si="72"/>
        <v>6668493.166666667</v>
      </c>
      <c r="F44" s="4">
        <v>8208393.166666667</v>
      </c>
      <c r="G44" s="4">
        <v>5383100</v>
      </c>
      <c r="H44" s="4">
        <f t="shared" si="73"/>
        <v>2825293.166666667</v>
      </c>
      <c r="I44" s="4">
        <f>+'202401anual'!E104</f>
        <v>8208393.166666667</v>
      </c>
      <c r="J44" s="4">
        <v>10608520</v>
      </c>
      <c r="K44" s="4">
        <f t="shared" si="74"/>
        <v>-2400126.833333333</v>
      </c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4">
        <f t="shared" si="84"/>
        <v>24625179.5</v>
      </c>
      <c r="AN44" s="4">
        <f t="shared" si="85"/>
        <v>17531520</v>
      </c>
      <c r="AO44" s="4">
        <f t="shared" si="86"/>
        <v>7093659.5</v>
      </c>
      <c r="AP44" s="43">
        <f t="shared" si="87"/>
        <v>28.80652910570662</v>
      </c>
      <c r="AQ44" s="34"/>
      <c r="AR44" s="50"/>
      <c r="AS44" s="45"/>
      <c r="AT44" s="2"/>
      <c r="BB44" s="24"/>
    </row>
    <row r="45" spans="1:54" x14ac:dyDescent="0.25">
      <c r="A45" s="21" t="str">
        <f>+'202401anual'!A114</f>
        <v>Recaudos</v>
      </c>
      <c r="B45" s="4">
        <f>+'202401anual'!B114</f>
        <v>15000000</v>
      </c>
      <c r="C45" s="4">
        <v>1500000</v>
      </c>
      <c r="D45" s="49"/>
      <c r="E45" s="4">
        <f t="shared" si="72"/>
        <v>1500000</v>
      </c>
      <c r="F45" s="4">
        <v>1500000</v>
      </c>
      <c r="G45" s="4">
        <v>0</v>
      </c>
      <c r="H45" s="4">
        <f t="shared" si="73"/>
        <v>1500000</v>
      </c>
      <c r="I45" s="4">
        <f>+'202401anual'!E114</f>
        <v>1200000</v>
      </c>
      <c r="J45" s="4">
        <v>0</v>
      </c>
      <c r="K45" s="4">
        <f t="shared" si="74"/>
        <v>1200000</v>
      </c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4">
        <f t="shared" si="84"/>
        <v>4200000</v>
      </c>
      <c r="AN45" s="4">
        <f t="shared" si="85"/>
        <v>0</v>
      </c>
      <c r="AO45" s="4">
        <f t="shared" si="86"/>
        <v>4200000</v>
      </c>
      <c r="AP45" s="43">
        <f t="shared" si="87"/>
        <v>100</v>
      </c>
      <c r="AQ45" s="34"/>
      <c r="AR45" s="50"/>
      <c r="AS45" s="45"/>
      <c r="AT45" s="2"/>
      <c r="BB45" s="24"/>
    </row>
    <row r="46" spans="1:54" x14ac:dyDescent="0.25">
      <c r="A46" s="21" t="str">
        <f>+'202401anual'!A120</f>
        <v xml:space="preserve">Alquiler de mulas y vehículos de transporte </v>
      </c>
      <c r="B46" s="4">
        <f>+'202401anual'!B120</f>
        <v>89520000</v>
      </c>
      <c r="C46" s="4">
        <v>6000000</v>
      </c>
      <c r="D46" s="4">
        <v>11940000</v>
      </c>
      <c r="E46" s="4">
        <f t="shared" si="72"/>
        <v>-5940000</v>
      </c>
      <c r="F46" s="4">
        <v>6000000</v>
      </c>
      <c r="G46" s="4">
        <v>9380000</v>
      </c>
      <c r="H46" s="4">
        <f t="shared" si="73"/>
        <v>-3380000</v>
      </c>
      <c r="I46" s="4">
        <f>+'202401anual'!E120-7752000</f>
        <v>0</v>
      </c>
      <c r="J46" s="4">
        <v>0</v>
      </c>
      <c r="K46" s="4">
        <f t="shared" si="74"/>
        <v>0</v>
      </c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4">
        <f t="shared" si="84"/>
        <v>12000000</v>
      </c>
      <c r="AN46" s="4">
        <f t="shared" si="85"/>
        <v>21320000</v>
      </c>
      <c r="AO46" s="4">
        <f t="shared" si="86"/>
        <v>-9320000</v>
      </c>
      <c r="AP46" s="43">
        <f t="shared" si="87"/>
        <v>-77.666666666666657</v>
      </c>
      <c r="AQ46" s="34"/>
      <c r="AR46" s="50"/>
      <c r="AS46" s="45"/>
      <c r="AT46" s="2"/>
      <c r="BB46" s="24"/>
    </row>
    <row r="47" spans="1:54" x14ac:dyDescent="0.25">
      <c r="A47" s="21" t="str">
        <f>+'202401anual'!A132</f>
        <v>Asesoria y argue sui</v>
      </c>
      <c r="B47" s="4">
        <f>+'202401anual'!B132</f>
        <v>15600000</v>
      </c>
      <c r="C47" s="4">
        <v>0</v>
      </c>
      <c r="D47" s="49">
        <v>0</v>
      </c>
      <c r="E47" s="4">
        <f t="shared" si="72"/>
        <v>0</v>
      </c>
      <c r="F47" s="4">
        <v>0</v>
      </c>
      <c r="G47" s="4">
        <v>0</v>
      </c>
      <c r="H47" s="4">
        <f t="shared" si="73"/>
        <v>0</v>
      </c>
      <c r="I47" s="4">
        <f>+'202401anual'!E132</f>
        <v>0</v>
      </c>
      <c r="J47" s="4">
        <v>0</v>
      </c>
      <c r="K47" s="4">
        <f t="shared" si="74"/>
        <v>0</v>
      </c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4">
        <f t="shared" si="84"/>
        <v>0</v>
      </c>
      <c r="AN47" s="4">
        <f t="shared" si="85"/>
        <v>0</v>
      </c>
      <c r="AO47" s="4">
        <f t="shared" si="86"/>
        <v>0</v>
      </c>
      <c r="AP47" s="43" t="e">
        <f t="shared" si="87"/>
        <v>#DIV/0!</v>
      </c>
      <c r="AQ47" s="34"/>
      <c r="AR47" s="50"/>
      <c r="AS47" s="45"/>
      <c r="AT47" s="2"/>
      <c r="BB47" s="24"/>
    </row>
    <row r="48" spans="1:54" x14ac:dyDescent="0.25">
      <c r="A48" s="21" t="str">
        <f>+'202401anual'!A118</f>
        <v>Transporte Agua potable</v>
      </c>
      <c r="B48" s="4">
        <f>+'202401anual'!B118</f>
        <v>143370000</v>
      </c>
      <c r="C48" s="4">
        <v>15930000</v>
      </c>
      <c r="D48" s="49">
        <v>0</v>
      </c>
      <c r="E48" s="4">
        <f t="shared" si="72"/>
        <v>15930000</v>
      </c>
      <c r="F48" s="4">
        <v>15930000</v>
      </c>
      <c r="G48" s="4">
        <v>0</v>
      </c>
      <c r="H48" s="4">
        <f t="shared" si="73"/>
        <v>15930000</v>
      </c>
      <c r="I48" s="49">
        <f>+'202401anual'!E118</f>
        <v>0</v>
      </c>
      <c r="J48" s="4">
        <v>0</v>
      </c>
      <c r="K48" s="4">
        <f t="shared" si="74"/>
        <v>0</v>
      </c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4">
        <f t="shared" si="84"/>
        <v>31860000</v>
      </c>
      <c r="AN48" s="4">
        <f t="shared" si="85"/>
        <v>0</v>
      </c>
      <c r="AO48" s="4">
        <f t="shared" si="86"/>
        <v>31860000</v>
      </c>
      <c r="AP48" s="43">
        <f t="shared" si="87"/>
        <v>100</v>
      </c>
      <c r="AQ48" s="34"/>
      <c r="AR48" s="50"/>
      <c r="AS48" s="45"/>
      <c r="AT48" s="2"/>
      <c r="BB48" s="24"/>
    </row>
    <row r="49" spans="1:54" x14ac:dyDescent="0.25">
      <c r="A49" s="21" t="str">
        <f>+'202401anual'!A135</f>
        <v>Camp-de sensi-y concient PUEAA (inc-materiales)</v>
      </c>
      <c r="B49" s="4">
        <f>+'202401anual'!B135</f>
        <v>20000000</v>
      </c>
      <c r="C49" s="4">
        <v>3500000</v>
      </c>
      <c r="D49" s="4">
        <v>0</v>
      </c>
      <c r="E49" s="4">
        <f t="shared" si="72"/>
        <v>3500000</v>
      </c>
      <c r="F49" s="4">
        <v>3500000</v>
      </c>
      <c r="G49" s="4">
        <v>0</v>
      </c>
      <c r="H49" s="4">
        <f t="shared" si="73"/>
        <v>3500000</v>
      </c>
      <c r="I49" s="49">
        <f>+'202401anual'!E135</f>
        <v>0</v>
      </c>
      <c r="J49" s="4">
        <v>0</v>
      </c>
      <c r="K49" s="4">
        <f t="shared" si="74"/>
        <v>0</v>
      </c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4">
        <f t="shared" si="84"/>
        <v>7000000</v>
      </c>
      <c r="AN49" s="4">
        <f t="shared" si="85"/>
        <v>0</v>
      </c>
      <c r="AO49" s="4">
        <f t="shared" si="86"/>
        <v>7000000</v>
      </c>
      <c r="AP49" s="43">
        <f t="shared" si="87"/>
        <v>100</v>
      </c>
      <c r="AQ49" s="34"/>
      <c r="AR49" s="50"/>
      <c r="AS49" s="45"/>
      <c r="AT49" s="2"/>
      <c r="BB49" s="24"/>
    </row>
    <row r="50" spans="1:54" x14ac:dyDescent="0.25">
      <c r="A50" s="12" t="s">
        <v>186</v>
      </c>
      <c r="B50" s="8">
        <f>SUM(B37:B49)</f>
        <v>788346572.67733967</v>
      </c>
      <c r="C50" s="8">
        <f>SUM(C37:C49)</f>
        <v>57712297.723111644</v>
      </c>
      <c r="D50" s="8">
        <f t="shared" ref="D50:AO50" si="89">SUM(D37:D49)</f>
        <v>31788781.292999998</v>
      </c>
      <c r="E50" s="8">
        <f t="shared" si="89"/>
        <v>25923516.430111647</v>
      </c>
      <c r="F50" s="8">
        <f>SUM(F37:F49)</f>
        <v>57712297.723111644</v>
      </c>
      <c r="G50" s="8">
        <f t="shared" si="89"/>
        <v>55983967</v>
      </c>
      <c r="H50" s="8">
        <f t="shared" si="89"/>
        <v>1728330.7231116444</v>
      </c>
      <c r="I50" s="8">
        <f t="shared" si="89"/>
        <v>31082297.723111644</v>
      </c>
      <c r="J50" s="8">
        <f>SUM(J37:J49)</f>
        <v>27520790</v>
      </c>
      <c r="K50" s="8">
        <f t="shared" si="89"/>
        <v>3561507.7231116435</v>
      </c>
      <c r="L50" s="8">
        <f t="shared" si="89"/>
        <v>0</v>
      </c>
      <c r="M50" s="8">
        <f t="shared" si="89"/>
        <v>0</v>
      </c>
      <c r="N50" s="8">
        <f t="shared" si="89"/>
        <v>0</v>
      </c>
      <c r="O50" s="8">
        <f t="shared" si="89"/>
        <v>0</v>
      </c>
      <c r="P50" s="8">
        <f t="shared" si="89"/>
        <v>0</v>
      </c>
      <c r="Q50" s="8">
        <f t="shared" si="89"/>
        <v>0</v>
      </c>
      <c r="R50" s="8">
        <f t="shared" si="89"/>
        <v>0</v>
      </c>
      <c r="S50" s="8">
        <f t="shared" si="89"/>
        <v>0</v>
      </c>
      <c r="T50" s="8">
        <f t="shared" si="89"/>
        <v>0</v>
      </c>
      <c r="U50" s="8">
        <f t="shared" si="89"/>
        <v>0</v>
      </c>
      <c r="V50" s="8">
        <f t="shared" si="89"/>
        <v>0</v>
      </c>
      <c r="W50" s="8">
        <f t="shared" si="89"/>
        <v>0</v>
      </c>
      <c r="X50" s="8">
        <f t="shared" si="89"/>
        <v>0</v>
      </c>
      <c r="Y50" s="8">
        <f t="shared" si="89"/>
        <v>0</v>
      </c>
      <c r="Z50" s="8">
        <f t="shared" si="89"/>
        <v>0</v>
      </c>
      <c r="AA50" s="8">
        <f t="shared" si="89"/>
        <v>0</v>
      </c>
      <c r="AB50" s="8">
        <f t="shared" si="89"/>
        <v>0</v>
      </c>
      <c r="AC50" s="8">
        <f t="shared" si="89"/>
        <v>0</v>
      </c>
      <c r="AD50" s="8">
        <f t="shared" si="89"/>
        <v>0</v>
      </c>
      <c r="AE50" s="8">
        <f t="shared" si="89"/>
        <v>0</v>
      </c>
      <c r="AF50" s="8">
        <f t="shared" si="89"/>
        <v>0</v>
      </c>
      <c r="AG50" s="8">
        <f t="shared" si="89"/>
        <v>0</v>
      </c>
      <c r="AH50" s="8">
        <f t="shared" si="89"/>
        <v>0</v>
      </c>
      <c r="AI50" s="8">
        <f t="shared" si="89"/>
        <v>0</v>
      </c>
      <c r="AJ50" s="8">
        <f t="shared" si="89"/>
        <v>0</v>
      </c>
      <c r="AK50" s="8">
        <f t="shared" si="89"/>
        <v>0</v>
      </c>
      <c r="AL50" s="8">
        <f t="shared" si="89"/>
        <v>0</v>
      </c>
      <c r="AM50" s="8">
        <f t="shared" si="89"/>
        <v>146506893.16933495</v>
      </c>
      <c r="AN50" s="8">
        <f t="shared" si="89"/>
        <v>115293538.293</v>
      </c>
      <c r="AO50" s="8">
        <f t="shared" si="89"/>
        <v>31213354.876334935</v>
      </c>
      <c r="AP50" s="31">
        <f>+AO50/AM50</f>
        <v>0.21305041831893912</v>
      </c>
      <c r="AQ50" s="34"/>
      <c r="AR50" s="50"/>
      <c r="AS50" s="45"/>
      <c r="AT50" s="2"/>
      <c r="BB50" s="24"/>
    </row>
    <row r="51" spans="1:54" hidden="1" x14ac:dyDescent="0.25">
      <c r="A51" s="21"/>
      <c r="B51" s="49"/>
      <c r="C51" s="49"/>
      <c r="D51" s="49"/>
      <c r="E51" s="49"/>
      <c r="F51" s="49"/>
      <c r="G51" s="49"/>
      <c r="H51" s="49"/>
      <c r="I51" s="49"/>
      <c r="J51" s="49"/>
      <c r="K51" s="49"/>
      <c r="L51" s="49"/>
      <c r="M51" s="49"/>
      <c r="N51" s="49"/>
      <c r="O51" s="49"/>
      <c r="P51" s="49"/>
      <c r="Q51" s="49"/>
      <c r="R51" s="49"/>
      <c r="S51" s="49"/>
      <c r="T51" s="49"/>
      <c r="U51" s="49"/>
      <c r="V51" s="49"/>
      <c r="W51" s="49"/>
      <c r="X51" s="49"/>
      <c r="Y51" s="49"/>
      <c r="Z51" s="49"/>
      <c r="AA51" s="49"/>
      <c r="AB51" s="49"/>
      <c r="AC51" s="49"/>
      <c r="AD51" s="49"/>
      <c r="AE51" s="49"/>
      <c r="AF51" s="49"/>
      <c r="AG51" s="49"/>
      <c r="AH51" s="49"/>
      <c r="AI51" s="49"/>
      <c r="AJ51" s="49"/>
      <c r="AK51" s="49"/>
      <c r="AL51" s="49"/>
      <c r="AM51" s="49"/>
      <c r="AN51" s="49"/>
      <c r="AO51" s="49"/>
      <c r="AP51" s="77"/>
      <c r="AQ51" s="34"/>
      <c r="AR51" s="50"/>
      <c r="AS51" s="45"/>
      <c r="AT51" s="2"/>
      <c r="BA51" s="80"/>
      <c r="BB51" s="24"/>
    </row>
    <row r="52" spans="1:54" x14ac:dyDescent="0.25">
      <c r="A52" s="21" t="s">
        <v>54</v>
      </c>
      <c r="B52" s="4">
        <f>+'202401anual'!B81</f>
        <v>321558151.11005127</v>
      </c>
      <c r="C52" s="4">
        <v>26796512.592504274</v>
      </c>
      <c r="D52" s="4">
        <v>24171121.707000002</v>
      </c>
      <c r="E52" s="4">
        <f t="shared" si="72"/>
        <v>2625390.8855042718</v>
      </c>
      <c r="F52" s="4">
        <v>26796512.592504274</v>
      </c>
      <c r="G52" s="4">
        <v>23486087</v>
      </c>
      <c r="H52" s="4">
        <f t="shared" si="73"/>
        <v>3310425.5925042741</v>
      </c>
      <c r="I52" s="4">
        <f>+'202401anual'!E81</f>
        <v>26796512.592504274</v>
      </c>
      <c r="J52" s="4">
        <v>22605101.019999996</v>
      </c>
      <c r="K52" s="4">
        <f t="shared" ref="K52:K97" si="90">+I52-J52</f>
        <v>4191411.5725042783</v>
      </c>
      <c r="L52" s="4"/>
      <c r="M52" s="4"/>
      <c r="N52" s="4">
        <f t="shared" ref="N52:N97" si="91">+L52-M52</f>
        <v>0</v>
      </c>
      <c r="O52" s="4"/>
      <c r="P52" s="4"/>
      <c r="Q52" s="4">
        <f t="shared" ref="Q52:Q97" si="92">+O52-P52</f>
        <v>0</v>
      </c>
      <c r="R52" s="4"/>
      <c r="S52" s="4"/>
      <c r="T52" s="4">
        <f t="shared" ref="T52:T97" si="93">+R52-S52</f>
        <v>0</v>
      </c>
      <c r="U52" s="4"/>
      <c r="V52" s="4"/>
      <c r="W52" s="4">
        <f t="shared" ref="W52:W97" si="94">+U52-V52</f>
        <v>0</v>
      </c>
      <c r="X52" s="4"/>
      <c r="Y52" s="4"/>
      <c r="Z52" s="4">
        <f t="shared" ref="Z52:Z97" si="95">+X52-Y52</f>
        <v>0</v>
      </c>
      <c r="AA52" s="4"/>
      <c r="AB52" s="4"/>
      <c r="AC52" s="4">
        <f t="shared" ref="AC52:AC97" si="96">+AA52-AB52</f>
        <v>0</v>
      </c>
      <c r="AD52" s="4"/>
      <c r="AE52" s="4"/>
      <c r="AF52" s="4">
        <f t="shared" si="81"/>
        <v>0</v>
      </c>
      <c r="AG52" s="4"/>
      <c r="AH52" s="4"/>
      <c r="AI52" s="4">
        <f t="shared" si="82"/>
        <v>0</v>
      </c>
      <c r="AJ52" s="4"/>
      <c r="AK52" s="4"/>
      <c r="AL52" s="4">
        <f t="shared" si="83"/>
        <v>0</v>
      </c>
      <c r="AM52" s="4">
        <f t="shared" ref="AM52:AM97" si="97">+C52+F52+I52+L52+O52+R52+U52+X52+AA52+AD52+AG52+AJ52</f>
        <v>80389537.777512819</v>
      </c>
      <c r="AN52" s="4">
        <f t="shared" ref="AN52:AN97" si="98">+D52+G52+J52+M52+P52+S52+V52+Y52+AB52+AE52+AH52+AK52</f>
        <v>70262309.726999998</v>
      </c>
      <c r="AO52" s="4">
        <f t="shared" ref="AO52:AO86" si="99">+AM52-AN52</f>
        <v>10127228.05051282</v>
      </c>
      <c r="AP52" s="43">
        <f t="shared" ref="AP52:AP97" si="100">+AO52/AM52*100</f>
        <v>12.597694091165291</v>
      </c>
      <c r="AQ52" s="34">
        <f t="shared" si="16"/>
        <v>-241168613.33253846</v>
      </c>
      <c r="AR52" s="38"/>
      <c r="AS52" s="38"/>
      <c r="AT52" s="2"/>
      <c r="AU52" s="2"/>
      <c r="AX52" s="2"/>
    </row>
    <row r="53" spans="1:54" x14ac:dyDescent="0.25">
      <c r="A53" s="5" t="s">
        <v>71</v>
      </c>
      <c r="B53" s="4">
        <v>12900000</v>
      </c>
      <c r="C53" s="4">
        <v>1075000</v>
      </c>
      <c r="D53" s="4">
        <v>0</v>
      </c>
      <c r="E53" s="4">
        <f t="shared" si="72"/>
        <v>1075000</v>
      </c>
      <c r="F53" s="4">
        <v>1075000</v>
      </c>
      <c r="G53" s="4">
        <v>0</v>
      </c>
      <c r="H53" s="4">
        <f t="shared" si="73"/>
        <v>1075000</v>
      </c>
      <c r="I53" s="4">
        <f>+'202401anual'!E86</f>
        <v>1075000</v>
      </c>
      <c r="J53" s="4">
        <v>0</v>
      </c>
      <c r="K53" s="4">
        <f t="shared" si="90"/>
        <v>1075000</v>
      </c>
      <c r="L53" s="4"/>
      <c r="M53" s="4"/>
      <c r="N53" s="4">
        <f t="shared" si="91"/>
        <v>0</v>
      </c>
      <c r="O53" s="4"/>
      <c r="P53" s="4"/>
      <c r="Q53" s="4">
        <f t="shared" si="92"/>
        <v>0</v>
      </c>
      <c r="R53" s="4"/>
      <c r="S53" s="4"/>
      <c r="T53" s="4">
        <f t="shared" si="93"/>
        <v>0</v>
      </c>
      <c r="U53" s="4"/>
      <c r="V53" s="4"/>
      <c r="W53" s="4">
        <f t="shared" si="94"/>
        <v>0</v>
      </c>
      <c r="X53" s="4"/>
      <c r="Y53" s="4"/>
      <c r="Z53" s="4">
        <f t="shared" si="95"/>
        <v>0</v>
      </c>
      <c r="AA53" s="4"/>
      <c r="AB53" s="4"/>
      <c r="AC53" s="4">
        <f t="shared" si="96"/>
        <v>0</v>
      </c>
      <c r="AD53" s="4"/>
      <c r="AE53" s="4"/>
      <c r="AF53" s="4">
        <f t="shared" si="81"/>
        <v>0</v>
      </c>
      <c r="AG53" s="4"/>
      <c r="AH53" s="4"/>
      <c r="AI53" s="4">
        <f t="shared" si="82"/>
        <v>0</v>
      </c>
      <c r="AJ53" s="4"/>
      <c r="AK53" s="4"/>
      <c r="AL53" s="4">
        <f t="shared" si="83"/>
        <v>0</v>
      </c>
      <c r="AM53" s="4">
        <f t="shared" si="97"/>
        <v>3225000</v>
      </c>
      <c r="AN53" s="4">
        <f t="shared" si="98"/>
        <v>0</v>
      </c>
      <c r="AO53" s="4">
        <f t="shared" si="99"/>
        <v>3225000</v>
      </c>
      <c r="AP53" s="43">
        <f t="shared" si="100"/>
        <v>100</v>
      </c>
      <c r="AQ53" s="34">
        <f t="shared" si="16"/>
        <v>-9675000</v>
      </c>
      <c r="AR53" s="38"/>
      <c r="AS53" s="38"/>
      <c r="AT53" s="2"/>
      <c r="AU53" s="2"/>
      <c r="AX53" s="2"/>
    </row>
    <row r="54" spans="1:54" x14ac:dyDescent="0.25">
      <c r="A54" s="5" t="s">
        <v>19</v>
      </c>
      <c r="B54" s="4">
        <v>143580000</v>
      </c>
      <c r="C54" s="4">
        <v>11965000</v>
      </c>
      <c r="D54" s="4">
        <v>12181960</v>
      </c>
      <c r="E54" s="4">
        <f t="shared" si="72"/>
        <v>-216960</v>
      </c>
      <c r="F54" s="4">
        <v>11965000</v>
      </c>
      <c r="G54" s="4">
        <v>10881960</v>
      </c>
      <c r="H54" s="4">
        <f t="shared" si="73"/>
        <v>1083040</v>
      </c>
      <c r="I54" s="4">
        <f>+'202401anual'!E88</f>
        <v>11965000</v>
      </c>
      <c r="J54" s="4">
        <v>10881960</v>
      </c>
      <c r="K54" s="4">
        <f t="shared" si="90"/>
        <v>1083040</v>
      </c>
      <c r="L54" s="4"/>
      <c r="M54" s="4"/>
      <c r="N54" s="4">
        <f t="shared" si="91"/>
        <v>0</v>
      </c>
      <c r="O54" s="4"/>
      <c r="P54" s="4"/>
      <c r="Q54" s="4">
        <f t="shared" si="92"/>
        <v>0</v>
      </c>
      <c r="R54" s="4"/>
      <c r="S54" s="4"/>
      <c r="T54" s="4">
        <f t="shared" si="93"/>
        <v>0</v>
      </c>
      <c r="U54" s="4"/>
      <c r="V54" s="4"/>
      <c r="W54" s="4">
        <f t="shared" si="94"/>
        <v>0</v>
      </c>
      <c r="X54" s="4"/>
      <c r="Y54" s="4"/>
      <c r="Z54" s="4">
        <f t="shared" si="95"/>
        <v>0</v>
      </c>
      <c r="AA54" s="4"/>
      <c r="AB54" s="4"/>
      <c r="AC54" s="4">
        <f t="shared" si="96"/>
        <v>0</v>
      </c>
      <c r="AD54" s="4"/>
      <c r="AE54" s="4"/>
      <c r="AF54" s="4">
        <f t="shared" si="81"/>
        <v>0</v>
      </c>
      <c r="AG54" s="4"/>
      <c r="AH54" s="4"/>
      <c r="AI54" s="4">
        <f t="shared" si="82"/>
        <v>0</v>
      </c>
      <c r="AJ54" s="4"/>
      <c r="AK54" s="4"/>
      <c r="AL54" s="4">
        <f t="shared" si="83"/>
        <v>0</v>
      </c>
      <c r="AM54" s="4">
        <f t="shared" si="97"/>
        <v>35895000</v>
      </c>
      <c r="AN54" s="4">
        <f t="shared" si="98"/>
        <v>33945880</v>
      </c>
      <c r="AO54" s="4">
        <f t="shared" si="99"/>
        <v>1949120</v>
      </c>
      <c r="AP54" s="43">
        <f t="shared" si="100"/>
        <v>5.430059896921577</v>
      </c>
      <c r="AQ54" s="34">
        <f t="shared" si="16"/>
        <v>-107685000</v>
      </c>
      <c r="AR54" s="38"/>
      <c r="AS54" s="38"/>
      <c r="AT54" s="2"/>
      <c r="AU54" s="2"/>
    </row>
    <row r="55" spans="1:54" x14ac:dyDescent="0.25">
      <c r="A55" s="81" t="s">
        <v>89</v>
      </c>
      <c r="B55" s="4">
        <f>+'202401anual'!B89</f>
        <v>9500000</v>
      </c>
      <c r="C55" s="4">
        <v>0</v>
      </c>
      <c r="D55" s="4">
        <v>0</v>
      </c>
      <c r="E55" s="4">
        <f t="shared" si="72"/>
        <v>0</v>
      </c>
      <c r="F55" s="4">
        <v>0</v>
      </c>
      <c r="G55" s="4">
        <v>0</v>
      </c>
      <c r="H55" s="4">
        <f t="shared" si="73"/>
        <v>0</v>
      </c>
      <c r="I55" s="4">
        <f>+'202401anual'!E89</f>
        <v>0</v>
      </c>
      <c r="J55" s="4">
        <v>0</v>
      </c>
      <c r="K55" s="4">
        <f t="shared" si="90"/>
        <v>0</v>
      </c>
      <c r="L55" s="4"/>
      <c r="M55" s="4"/>
      <c r="N55" s="4">
        <f t="shared" si="91"/>
        <v>0</v>
      </c>
      <c r="O55" s="4"/>
      <c r="P55" s="4"/>
      <c r="Q55" s="4">
        <f t="shared" si="92"/>
        <v>0</v>
      </c>
      <c r="R55" s="4"/>
      <c r="S55" s="4"/>
      <c r="T55" s="4">
        <f t="shared" si="93"/>
        <v>0</v>
      </c>
      <c r="U55" s="4"/>
      <c r="V55" s="4"/>
      <c r="W55" s="4">
        <f t="shared" si="94"/>
        <v>0</v>
      </c>
      <c r="X55" s="4"/>
      <c r="Y55" s="4"/>
      <c r="Z55" s="4">
        <f t="shared" si="95"/>
        <v>0</v>
      </c>
      <c r="AA55" s="4"/>
      <c r="AB55" s="4"/>
      <c r="AC55" s="4">
        <f t="shared" si="96"/>
        <v>0</v>
      </c>
      <c r="AD55" s="4"/>
      <c r="AE55" s="4"/>
      <c r="AF55" s="4">
        <f t="shared" si="81"/>
        <v>0</v>
      </c>
      <c r="AG55" s="4"/>
      <c r="AH55" s="4"/>
      <c r="AI55" s="4">
        <f t="shared" si="82"/>
        <v>0</v>
      </c>
      <c r="AJ55" s="4"/>
      <c r="AK55" s="4"/>
      <c r="AL55" s="4">
        <f t="shared" si="83"/>
        <v>0</v>
      </c>
      <c r="AM55" s="4">
        <f t="shared" si="97"/>
        <v>0</v>
      </c>
      <c r="AN55" s="4">
        <f t="shared" si="98"/>
        <v>0</v>
      </c>
      <c r="AO55" s="4">
        <f t="shared" si="99"/>
        <v>0</v>
      </c>
      <c r="AP55" s="43" t="e">
        <f t="shared" si="100"/>
        <v>#DIV/0!</v>
      </c>
      <c r="AQ55" s="34">
        <f t="shared" si="16"/>
        <v>-9500000</v>
      </c>
      <c r="AR55" s="38"/>
      <c r="AS55" s="38"/>
      <c r="AT55" s="2"/>
      <c r="AU55" s="2"/>
    </row>
    <row r="56" spans="1:54" x14ac:dyDescent="0.25">
      <c r="A56" s="21" t="s">
        <v>72</v>
      </c>
      <c r="B56" s="4">
        <f>+'202401anual'!B90</f>
        <v>61980000</v>
      </c>
      <c r="C56" s="4">
        <v>5465000</v>
      </c>
      <c r="D56" s="4">
        <v>2526395</v>
      </c>
      <c r="E56" s="4">
        <f t="shared" si="72"/>
        <v>2938605</v>
      </c>
      <c r="F56" s="4">
        <v>5465000</v>
      </c>
      <c r="G56" s="4">
        <v>2353389</v>
      </c>
      <c r="H56" s="4">
        <f t="shared" si="73"/>
        <v>3111611</v>
      </c>
      <c r="I56" s="4">
        <f>+'202401anual'!E90</f>
        <v>1865000</v>
      </c>
      <c r="J56" s="4">
        <v>2717394</v>
      </c>
      <c r="K56" s="4">
        <f t="shared" si="90"/>
        <v>-852394</v>
      </c>
      <c r="L56" s="4"/>
      <c r="M56" s="4"/>
      <c r="N56" s="4">
        <f t="shared" si="91"/>
        <v>0</v>
      </c>
      <c r="O56" s="4"/>
      <c r="P56" s="4"/>
      <c r="Q56" s="4">
        <f t="shared" si="92"/>
        <v>0</v>
      </c>
      <c r="R56" s="4"/>
      <c r="S56" s="4"/>
      <c r="T56" s="4">
        <f t="shared" si="93"/>
        <v>0</v>
      </c>
      <c r="U56" s="4"/>
      <c r="V56" s="4"/>
      <c r="W56" s="4">
        <f t="shared" si="94"/>
        <v>0</v>
      </c>
      <c r="X56" s="4"/>
      <c r="Y56" s="4"/>
      <c r="Z56" s="4">
        <f t="shared" si="95"/>
        <v>0</v>
      </c>
      <c r="AA56" s="4"/>
      <c r="AB56" s="4"/>
      <c r="AC56" s="4">
        <f t="shared" si="96"/>
        <v>0</v>
      </c>
      <c r="AD56" s="4"/>
      <c r="AE56" s="4"/>
      <c r="AF56" s="4">
        <f t="shared" si="81"/>
        <v>0</v>
      </c>
      <c r="AG56" s="4"/>
      <c r="AH56" s="4"/>
      <c r="AI56" s="4">
        <f t="shared" si="82"/>
        <v>0</v>
      </c>
      <c r="AJ56" s="4"/>
      <c r="AK56" s="4"/>
      <c r="AL56" s="4">
        <f t="shared" si="83"/>
        <v>0</v>
      </c>
      <c r="AM56" s="4">
        <f t="shared" si="97"/>
        <v>12795000</v>
      </c>
      <c r="AN56" s="4">
        <f t="shared" si="98"/>
        <v>7597178</v>
      </c>
      <c r="AO56" s="4">
        <f t="shared" si="99"/>
        <v>5197822</v>
      </c>
      <c r="AP56" s="43">
        <f t="shared" si="100"/>
        <v>40.623853067604529</v>
      </c>
      <c r="AQ56" s="34">
        <f t="shared" si="16"/>
        <v>-49185000</v>
      </c>
      <c r="AR56" s="38"/>
      <c r="AS56" s="38"/>
      <c r="AT56" s="2"/>
      <c r="AU56" s="2"/>
    </row>
    <row r="57" spans="1:54" ht="24.75" x14ac:dyDescent="0.25">
      <c r="A57" s="82" t="s">
        <v>65</v>
      </c>
      <c r="B57" s="52">
        <v>121000000</v>
      </c>
      <c r="C57" s="4">
        <v>0</v>
      </c>
      <c r="D57" s="4">
        <v>0</v>
      </c>
      <c r="E57" s="4">
        <f t="shared" si="72"/>
        <v>0</v>
      </c>
      <c r="F57" s="4">
        <v>0</v>
      </c>
      <c r="G57" s="4">
        <v>1840000</v>
      </c>
      <c r="H57" s="4">
        <f t="shared" si="73"/>
        <v>-1840000</v>
      </c>
      <c r="I57" s="4">
        <f>+'202401anual'!E91-30412393</f>
        <v>13837607</v>
      </c>
      <c r="J57" s="4">
        <v>0</v>
      </c>
      <c r="K57" s="4">
        <f t="shared" si="90"/>
        <v>13837607</v>
      </c>
      <c r="L57" s="4"/>
      <c r="M57" s="4"/>
      <c r="N57" s="4">
        <f t="shared" si="91"/>
        <v>0</v>
      </c>
      <c r="O57" s="4"/>
      <c r="P57" s="4"/>
      <c r="Q57" s="4">
        <f t="shared" si="92"/>
        <v>0</v>
      </c>
      <c r="R57" s="4"/>
      <c r="S57" s="4"/>
      <c r="T57" s="4">
        <f t="shared" si="93"/>
        <v>0</v>
      </c>
      <c r="U57" s="4"/>
      <c r="V57" s="4"/>
      <c r="W57" s="4">
        <f t="shared" si="94"/>
        <v>0</v>
      </c>
      <c r="X57" s="4"/>
      <c r="Y57" s="4"/>
      <c r="Z57" s="4">
        <f t="shared" si="95"/>
        <v>0</v>
      </c>
      <c r="AA57" s="4"/>
      <c r="AB57" s="4"/>
      <c r="AC57" s="4">
        <f t="shared" si="96"/>
        <v>0</v>
      </c>
      <c r="AD57" s="4"/>
      <c r="AE57" s="4"/>
      <c r="AF57" s="4">
        <f t="shared" si="81"/>
        <v>0</v>
      </c>
      <c r="AG57" s="4"/>
      <c r="AH57" s="4"/>
      <c r="AI57" s="4">
        <f t="shared" si="82"/>
        <v>0</v>
      </c>
      <c r="AJ57" s="4"/>
      <c r="AK57" s="4"/>
      <c r="AL57" s="4">
        <f t="shared" si="83"/>
        <v>0</v>
      </c>
      <c r="AM57" s="4">
        <f t="shared" si="97"/>
        <v>13837607</v>
      </c>
      <c r="AN57" s="4">
        <f t="shared" si="98"/>
        <v>1840000</v>
      </c>
      <c r="AO57" s="4">
        <f t="shared" si="99"/>
        <v>11997607</v>
      </c>
      <c r="AP57" s="43">
        <f t="shared" si="100"/>
        <v>86.702903182609532</v>
      </c>
      <c r="AQ57" s="34">
        <f t="shared" si="16"/>
        <v>-107162393</v>
      </c>
      <c r="AR57" s="38"/>
      <c r="AS57" s="38"/>
      <c r="AT57" s="2"/>
      <c r="AU57" s="2"/>
    </row>
    <row r="58" spans="1:54" x14ac:dyDescent="0.25">
      <c r="A58" s="21" t="s">
        <v>182</v>
      </c>
      <c r="B58" s="4">
        <f>+'202401anual'!B94</f>
        <v>31285000</v>
      </c>
      <c r="C58" s="4">
        <v>0</v>
      </c>
      <c r="D58" s="4">
        <v>0</v>
      </c>
      <c r="E58" s="4">
        <f t="shared" si="72"/>
        <v>0</v>
      </c>
      <c r="F58" s="4">
        <v>0</v>
      </c>
      <c r="G58" s="4">
        <v>0</v>
      </c>
      <c r="H58" s="4">
        <f t="shared" si="73"/>
        <v>0</v>
      </c>
      <c r="I58" s="4">
        <f>+'202401anual'!E94</f>
        <v>11993500</v>
      </c>
      <c r="J58" s="4">
        <v>0</v>
      </c>
      <c r="K58" s="4">
        <f t="shared" si="90"/>
        <v>11993500</v>
      </c>
      <c r="L58" s="4"/>
      <c r="M58" s="4"/>
      <c r="N58" s="4">
        <f t="shared" si="91"/>
        <v>0</v>
      </c>
      <c r="O58" s="4"/>
      <c r="P58" s="4"/>
      <c r="Q58" s="4">
        <f t="shared" si="92"/>
        <v>0</v>
      </c>
      <c r="R58" s="4"/>
      <c r="S58" s="4"/>
      <c r="T58" s="4">
        <f t="shared" si="93"/>
        <v>0</v>
      </c>
      <c r="U58" s="4"/>
      <c r="V58" s="4"/>
      <c r="W58" s="4">
        <f t="shared" si="94"/>
        <v>0</v>
      </c>
      <c r="X58" s="4"/>
      <c r="Y58" s="4"/>
      <c r="Z58" s="4">
        <f t="shared" si="95"/>
        <v>0</v>
      </c>
      <c r="AA58" s="4"/>
      <c r="AB58" s="4"/>
      <c r="AC58" s="4">
        <f t="shared" si="96"/>
        <v>0</v>
      </c>
      <c r="AD58" s="4"/>
      <c r="AE58" s="4"/>
      <c r="AF58" s="4">
        <f t="shared" si="81"/>
        <v>0</v>
      </c>
      <c r="AG58" s="4"/>
      <c r="AH58" s="4"/>
      <c r="AI58" s="4">
        <f t="shared" si="82"/>
        <v>0</v>
      </c>
      <c r="AJ58" s="4"/>
      <c r="AK58" s="4"/>
      <c r="AL58" s="4">
        <f t="shared" si="83"/>
        <v>0</v>
      </c>
      <c r="AM58" s="4">
        <f t="shared" si="97"/>
        <v>11993500</v>
      </c>
      <c r="AN58" s="4">
        <f t="shared" si="98"/>
        <v>0</v>
      </c>
      <c r="AO58" s="4">
        <f t="shared" si="99"/>
        <v>11993500</v>
      </c>
      <c r="AP58" s="43">
        <f t="shared" si="100"/>
        <v>100</v>
      </c>
      <c r="AQ58" s="34">
        <f t="shared" si="16"/>
        <v>-19291500</v>
      </c>
      <c r="AR58" s="38"/>
      <c r="AS58" s="38"/>
      <c r="AT58" s="2"/>
      <c r="AU58" s="2"/>
    </row>
    <row r="59" spans="1:54" x14ac:dyDescent="0.25">
      <c r="A59" s="21" t="s">
        <v>85</v>
      </c>
      <c r="B59" s="4">
        <v>8000000</v>
      </c>
      <c r="C59" s="4">
        <v>666666.66666666663</v>
      </c>
      <c r="D59" s="4">
        <v>296683</v>
      </c>
      <c r="E59" s="4">
        <f t="shared" si="72"/>
        <v>369983.66666666663</v>
      </c>
      <c r="F59" s="4">
        <v>666666.66666666663</v>
      </c>
      <c r="G59" s="4">
        <v>264087</v>
      </c>
      <c r="H59" s="4">
        <f t="shared" si="73"/>
        <v>402579.66666666663</v>
      </c>
      <c r="I59" s="4">
        <f>+'202401anual'!E95</f>
        <v>666666.66666666663</v>
      </c>
      <c r="J59" s="4">
        <v>0</v>
      </c>
      <c r="K59" s="4">
        <f t="shared" si="90"/>
        <v>666666.66666666663</v>
      </c>
      <c r="L59" s="4"/>
      <c r="M59" s="4"/>
      <c r="N59" s="4">
        <f t="shared" si="91"/>
        <v>0</v>
      </c>
      <c r="O59" s="4"/>
      <c r="P59" s="4"/>
      <c r="Q59" s="4">
        <f t="shared" si="92"/>
        <v>0</v>
      </c>
      <c r="R59" s="4"/>
      <c r="S59" s="4"/>
      <c r="T59" s="4">
        <f t="shared" si="93"/>
        <v>0</v>
      </c>
      <c r="U59" s="4"/>
      <c r="V59" s="4"/>
      <c r="W59" s="4">
        <f t="shared" si="94"/>
        <v>0</v>
      </c>
      <c r="X59" s="4"/>
      <c r="Y59" s="4"/>
      <c r="Z59" s="4">
        <f t="shared" si="95"/>
        <v>0</v>
      </c>
      <c r="AA59" s="4"/>
      <c r="AB59" s="4"/>
      <c r="AC59" s="4">
        <f t="shared" si="96"/>
        <v>0</v>
      </c>
      <c r="AD59" s="4"/>
      <c r="AE59" s="4"/>
      <c r="AF59" s="4">
        <f t="shared" si="81"/>
        <v>0</v>
      </c>
      <c r="AG59" s="4"/>
      <c r="AH59" s="4"/>
      <c r="AI59" s="4">
        <f t="shared" si="82"/>
        <v>0</v>
      </c>
      <c r="AJ59" s="4"/>
      <c r="AK59" s="4"/>
      <c r="AL59" s="4">
        <f t="shared" si="83"/>
        <v>0</v>
      </c>
      <c r="AM59" s="4">
        <f t="shared" si="97"/>
        <v>2000000</v>
      </c>
      <c r="AN59" s="4">
        <f t="shared" si="98"/>
        <v>560770</v>
      </c>
      <c r="AO59" s="4">
        <f t="shared" si="99"/>
        <v>1439230</v>
      </c>
      <c r="AP59" s="43">
        <f t="shared" si="100"/>
        <v>71.961500000000001</v>
      </c>
      <c r="AQ59" s="34">
        <f t="shared" si="16"/>
        <v>-6000000</v>
      </c>
      <c r="AR59" s="38"/>
      <c r="AS59" s="38"/>
      <c r="AT59" s="2"/>
      <c r="AU59" s="2"/>
    </row>
    <row r="60" spans="1:54" x14ac:dyDescent="0.25">
      <c r="A60" s="21" t="s">
        <v>23</v>
      </c>
      <c r="B60" s="46">
        <v>117000000</v>
      </c>
      <c r="C60" s="4">
        <v>0</v>
      </c>
      <c r="D60" s="4"/>
      <c r="E60" s="4">
        <f t="shared" si="72"/>
        <v>0</v>
      </c>
      <c r="F60" s="4">
        <v>13000000</v>
      </c>
      <c r="G60" s="4">
        <v>0</v>
      </c>
      <c r="H60" s="4">
        <f t="shared" si="73"/>
        <v>13000000</v>
      </c>
      <c r="I60" s="4">
        <f>+'202401anual'!E96</f>
        <v>0</v>
      </c>
      <c r="J60" s="4">
        <v>0</v>
      </c>
      <c r="K60" s="4">
        <f t="shared" si="90"/>
        <v>0</v>
      </c>
      <c r="L60" s="4"/>
      <c r="M60" s="4"/>
      <c r="N60" s="4">
        <f t="shared" si="91"/>
        <v>0</v>
      </c>
      <c r="O60" s="4"/>
      <c r="P60" s="4"/>
      <c r="Q60" s="4">
        <f t="shared" si="92"/>
        <v>0</v>
      </c>
      <c r="R60" s="4"/>
      <c r="S60" s="4"/>
      <c r="T60" s="4">
        <f t="shared" si="93"/>
        <v>0</v>
      </c>
      <c r="U60" s="4"/>
      <c r="V60" s="4"/>
      <c r="W60" s="4">
        <f t="shared" si="94"/>
        <v>0</v>
      </c>
      <c r="X60" s="4"/>
      <c r="Y60" s="4"/>
      <c r="Z60" s="4">
        <f t="shared" si="95"/>
        <v>0</v>
      </c>
      <c r="AA60" s="4"/>
      <c r="AB60" s="4"/>
      <c r="AC60" s="4">
        <f t="shared" si="96"/>
        <v>0</v>
      </c>
      <c r="AD60" s="4"/>
      <c r="AE60" s="4"/>
      <c r="AF60" s="4">
        <f t="shared" si="81"/>
        <v>0</v>
      </c>
      <c r="AG60" s="4"/>
      <c r="AH60" s="4"/>
      <c r="AI60" s="4">
        <f t="shared" si="82"/>
        <v>0</v>
      </c>
      <c r="AJ60" s="4"/>
      <c r="AK60" s="4"/>
      <c r="AL60" s="4">
        <f t="shared" si="83"/>
        <v>0</v>
      </c>
      <c r="AM60" s="4">
        <f t="shared" si="97"/>
        <v>13000000</v>
      </c>
      <c r="AN60" s="4">
        <f t="shared" si="98"/>
        <v>0</v>
      </c>
      <c r="AO60" s="4">
        <f t="shared" si="99"/>
        <v>13000000</v>
      </c>
      <c r="AP60" s="43">
        <f t="shared" si="100"/>
        <v>100</v>
      </c>
      <c r="AQ60" s="34">
        <f t="shared" si="16"/>
        <v>-104000000</v>
      </c>
      <c r="AR60" s="38"/>
      <c r="AS60" s="38"/>
      <c r="AT60" s="2"/>
      <c r="AU60" s="2"/>
    </row>
    <row r="61" spans="1:54" ht="30" customHeight="1" x14ac:dyDescent="0.25">
      <c r="A61" s="83" t="s">
        <v>181</v>
      </c>
      <c r="B61" s="4">
        <v>12000000</v>
      </c>
      <c r="C61" s="4">
        <v>0</v>
      </c>
      <c r="D61" s="4">
        <v>0</v>
      </c>
      <c r="E61" s="4">
        <f t="shared" si="72"/>
        <v>0</v>
      </c>
      <c r="F61" s="4">
        <v>0</v>
      </c>
      <c r="G61" s="4">
        <v>0</v>
      </c>
      <c r="H61" s="4">
        <f t="shared" si="73"/>
        <v>0</v>
      </c>
      <c r="I61" s="4">
        <f>+'202401anual'!E97</f>
        <v>0</v>
      </c>
      <c r="J61" s="4">
        <v>0</v>
      </c>
      <c r="K61" s="4">
        <f t="shared" si="90"/>
        <v>0</v>
      </c>
      <c r="L61" s="4"/>
      <c r="M61" s="4"/>
      <c r="N61" s="4">
        <f t="shared" si="91"/>
        <v>0</v>
      </c>
      <c r="O61" s="4"/>
      <c r="P61" s="4"/>
      <c r="Q61" s="4">
        <f t="shared" si="92"/>
        <v>0</v>
      </c>
      <c r="R61" s="4"/>
      <c r="S61" s="4"/>
      <c r="T61" s="4">
        <f t="shared" si="93"/>
        <v>0</v>
      </c>
      <c r="U61" s="4"/>
      <c r="V61" s="4"/>
      <c r="W61" s="4">
        <f t="shared" si="94"/>
        <v>0</v>
      </c>
      <c r="X61" s="4">
        <f>+'202401anual'!J99</f>
        <v>0</v>
      </c>
      <c r="Y61" s="4"/>
      <c r="Z61" s="4">
        <f t="shared" si="95"/>
        <v>0</v>
      </c>
      <c r="AA61" s="4"/>
      <c r="AB61" s="4"/>
      <c r="AC61" s="4">
        <f t="shared" si="96"/>
        <v>0</v>
      </c>
      <c r="AD61" s="4"/>
      <c r="AE61" s="4"/>
      <c r="AF61" s="4">
        <f t="shared" si="81"/>
        <v>0</v>
      </c>
      <c r="AG61" s="4"/>
      <c r="AH61" s="4"/>
      <c r="AI61" s="4">
        <f t="shared" si="82"/>
        <v>0</v>
      </c>
      <c r="AJ61" s="4"/>
      <c r="AK61" s="4"/>
      <c r="AL61" s="4">
        <f t="shared" si="83"/>
        <v>0</v>
      </c>
      <c r="AM61" s="4">
        <f t="shared" si="97"/>
        <v>0</v>
      </c>
      <c r="AN61" s="4">
        <f t="shared" si="98"/>
        <v>0</v>
      </c>
      <c r="AO61" s="4">
        <f t="shared" si="99"/>
        <v>0</v>
      </c>
      <c r="AP61" s="43" t="e">
        <f t="shared" si="100"/>
        <v>#DIV/0!</v>
      </c>
      <c r="AQ61" s="34">
        <f t="shared" si="16"/>
        <v>-12000000</v>
      </c>
      <c r="AR61" s="38"/>
      <c r="AS61" s="38"/>
      <c r="AT61" s="2"/>
      <c r="AU61" s="2"/>
    </row>
    <row r="62" spans="1:54" x14ac:dyDescent="0.25">
      <c r="A62" s="21" t="s">
        <v>37</v>
      </c>
      <c r="B62" s="4">
        <v>82018600</v>
      </c>
      <c r="C62" s="4">
        <v>6463000</v>
      </c>
      <c r="D62" s="4">
        <v>4622208</v>
      </c>
      <c r="E62" s="4">
        <f t="shared" si="72"/>
        <v>1840792</v>
      </c>
      <c r="F62" s="4">
        <v>6463000</v>
      </c>
      <c r="G62" s="4">
        <v>4622208</v>
      </c>
      <c r="H62" s="4">
        <f t="shared" si="73"/>
        <v>1840792</v>
      </c>
      <c r="I62" s="4">
        <f>+'202401anual'!E98</f>
        <v>6463000</v>
      </c>
      <c r="J62" s="4">
        <v>4622208</v>
      </c>
      <c r="K62" s="4">
        <f t="shared" si="90"/>
        <v>1840792</v>
      </c>
      <c r="L62" s="4"/>
      <c r="M62" s="4"/>
      <c r="N62" s="4">
        <f t="shared" si="91"/>
        <v>0</v>
      </c>
      <c r="O62" s="4"/>
      <c r="P62" s="4"/>
      <c r="Q62" s="4">
        <f t="shared" si="92"/>
        <v>0</v>
      </c>
      <c r="R62" s="4"/>
      <c r="S62" s="4"/>
      <c r="T62" s="4">
        <f t="shared" si="93"/>
        <v>0</v>
      </c>
      <c r="U62" s="4"/>
      <c r="V62" s="4"/>
      <c r="W62" s="4">
        <f t="shared" si="94"/>
        <v>0</v>
      </c>
      <c r="X62" s="4"/>
      <c r="Y62" s="4"/>
      <c r="Z62" s="4">
        <f t="shared" si="95"/>
        <v>0</v>
      </c>
      <c r="AA62" s="4"/>
      <c r="AB62" s="4"/>
      <c r="AC62" s="4">
        <f t="shared" si="96"/>
        <v>0</v>
      </c>
      <c r="AD62" s="4"/>
      <c r="AE62" s="4"/>
      <c r="AF62" s="4">
        <f t="shared" si="81"/>
        <v>0</v>
      </c>
      <c r="AG62" s="4"/>
      <c r="AH62" s="4"/>
      <c r="AI62" s="4">
        <f t="shared" si="82"/>
        <v>0</v>
      </c>
      <c r="AJ62" s="4"/>
      <c r="AK62" s="4"/>
      <c r="AL62" s="4">
        <f t="shared" si="83"/>
        <v>0</v>
      </c>
      <c r="AM62" s="4">
        <f t="shared" si="97"/>
        <v>19389000</v>
      </c>
      <c r="AN62" s="4">
        <f t="shared" si="98"/>
        <v>13866624</v>
      </c>
      <c r="AO62" s="4">
        <f t="shared" si="99"/>
        <v>5522376</v>
      </c>
      <c r="AP62" s="43">
        <f t="shared" si="100"/>
        <v>28.482005260714839</v>
      </c>
      <c r="AQ62" s="34">
        <f t="shared" si="16"/>
        <v>-62629600</v>
      </c>
      <c r="AR62" s="38"/>
      <c r="AS62" s="38"/>
      <c r="AT62" s="2"/>
      <c r="AU62" s="2"/>
    </row>
    <row r="63" spans="1:54" x14ac:dyDescent="0.25">
      <c r="A63" s="21" t="s">
        <v>25</v>
      </c>
      <c r="B63" s="4">
        <v>52971800</v>
      </c>
      <c r="C63" s="4">
        <v>3789200</v>
      </c>
      <c r="D63" s="4">
        <v>3789200</v>
      </c>
      <c r="E63" s="4">
        <f t="shared" si="72"/>
        <v>0</v>
      </c>
      <c r="F63" s="4">
        <v>3789200</v>
      </c>
      <c r="G63" s="4">
        <v>3789200</v>
      </c>
      <c r="H63" s="4">
        <f t="shared" si="73"/>
        <v>0</v>
      </c>
      <c r="I63" s="4">
        <f>+'202401anual'!E100</f>
        <v>3789200</v>
      </c>
      <c r="J63" s="4">
        <v>3410280</v>
      </c>
      <c r="K63" s="4">
        <f t="shared" si="90"/>
        <v>378920</v>
      </c>
      <c r="L63" s="4"/>
      <c r="M63" s="4"/>
      <c r="N63" s="4">
        <f t="shared" si="91"/>
        <v>0</v>
      </c>
      <c r="O63" s="4"/>
      <c r="P63" s="4"/>
      <c r="Q63" s="4">
        <f t="shared" si="92"/>
        <v>0</v>
      </c>
      <c r="R63" s="4"/>
      <c r="S63" s="4"/>
      <c r="T63" s="4">
        <f t="shared" si="93"/>
        <v>0</v>
      </c>
      <c r="U63" s="4"/>
      <c r="V63" s="4"/>
      <c r="W63" s="4">
        <f t="shared" si="94"/>
        <v>0</v>
      </c>
      <c r="X63" s="4"/>
      <c r="Y63" s="4"/>
      <c r="Z63" s="4">
        <f t="shared" si="95"/>
        <v>0</v>
      </c>
      <c r="AA63" s="4"/>
      <c r="AB63" s="4"/>
      <c r="AC63" s="4">
        <f t="shared" si="96"/>
        <v>0</v>
      </c>
      <c r="AD63" s="4"/>
      <c r="AE63" s="4"/>
      <c r="AF63" s="4">
        <f t="shared" si="81"/>
        <v>0</v>
      </c>
      <c r="AG63" s="4"/>
      <c r="AH63" s="4"/>
      <c r="AI63" s="4">
        <f t="shared" si="82"/>
        <v>0</v>
      </c>
      <c r="AJ63" s="4"/>
      <c r="AK63" s="4"/>
      <c r="AL63" s="4">
        <f t="shared" si="83"/>
        <v>0</v>
      </c>
      <c r="AM63" s="4">
        <f t="shared" si="97"/>
        <v>11367600</v>
      </c>
      <c r="AN63" s="4">
        <f t="shared" si="98"/>
        <v>10988680</v>
      </c>
      <c r="AO63" s="4">
        <f t="shared" si="99"/>
        <v>378920</v>
      </c>
      <c r="AP63" s="43">
        <f t="shared" si="100"/>
        <v>3.3333333333333335</v>
      </c>
      <c r="AQ63" s="34">
        <f t="shared" si="16"/>
        <v>-41604200</v>
      </c>
      <c r="AR63" s="38"/>
      <c r="AS63" s="38"/>
      <c r="AT63" s="2"/>
      <c r="AU63" s="2"/>
    </row>
    <row r="64" spans="1:54" x14ac:dyDescent="0.25">
      <c r="A64" s="21" t="s">
        <v>60</v>
      </c>
      <c r="B64" s="4">
        <v>45470400</v>
      </c>
      <c r="C64" s="4">
        <v>3789200</v>
      </c>
      <c r="D64" s="4">
        <f>7199200-3789200</f>
        <v>3410000</v>
      </c>
      <c r="E64" s="4">
        <f t="shared" si="72"/>
        <v>379200</v>
      </c>
      <c r="F64" s="4">
        <v>3789200</v>
      </c>
      <c r="G64" s="4">
        <v>0</v>
      </c>
      <c r="H64" s="4">
        <f t="shared" si="73"/>
        <v>3789200</v>
      </c>
      <c r="I64" s="4">
        <f>+'202401anual'!E102</f>
        <v>3789200</v>
      </c>
      <c r="J64" s="4">
        <v>3789200</v>
      </c>
      <c r="K64" s="4">
        <f t="shared" si="90"/>
        <v>0</v>
      </c>
      <c r="L64" s="4"/>
      <c r="M64" s="4"/>
      <c r="N64" s="4">
        <f t="shared" si="91"/>
        <v>0</v>
      </c>
      <c r="O64" s="4"/>
      <c r="P64" s="4"/>
      <c r="Q64" s="4">
        <f t="shared" si="92"/>
        <v>0</v>
      </c>
      <c r="R64" s="4"/>
      <c r="S64" s="4"/>
      <c r="T64" s="4">
        <f t="shared" si="93"/>
        <v>0</v>
      </c>
      <c r="U64" s="4"/>
      <c r="V64" s="4"/>
      <c r="W64" s="4">
        <f t="shared" si="94"/>
        <v>0</v>
      </c>
      <c r="X64" s="4"/>
      <c r="Y64" s="4"/>
      <c r="Z64" s="4">
        <f t="shared" si="95"/>
        <v>0</v>
      </c>
      <c r="AA64" s="4"/>
      <c r="AB64" s="4"/>
      <c r="AC64" s="4">
        <f t="shared" si="96"/>
        <v>0</v>
      </c>
      <c r="AD64" s="4"/>
      <c r="AE64" s="4"/>
      <c r="AF64" s="4">
        <f t="shared" si="81"/>
        <v>0</v>
      </c>
      <c r="AG64" s="4"/>
      <c r="AH64" s="4"/>
      <c r="AI64" s="4">
        <f t="shared" si="82"/>
        <v>0</v>
      </c>
      <c r="AJ64" s="4"/>
      <c r="AK64" s="4"/>
      <c r="AL64" s="4">
        <f t="shared" si="83"/>
        <v>0</v>
      </c>
      <c r="AM64" s="4">
        <f t="shared" si="97"/>
        <v>11367600</v>
      </c>
      <c r="AN64" s="4">
        <f t="shared" si="98"/>
        <v>7199200</v>
      </c>
      <c r="AO64" s="4">
        <f t="shared" si="99"/>
        <v>4168400</v>
      </c>
      <c r="AP64" s="43">
        <f t="shared" si="100"/>
        <v>36.669129807523134</v>
      </c>
      <c r="AQ64" s="34">
        <f t="shared" si="16"/>
        <v>-34102800</v>
      </c>
      <c r="AR64" s="38"/>
      <c r="AS64" s="38"/>
      <c r="AT64" s="2"/>
      <c r="AU64" s="2"/>
    </row>
    <row r="65" spans="1:47" x14ac:dyDescent="0.25">
      <c r="A65" s="21" t="s">
        <v>73</v>
      </c>
      <c r="B65" s="4">
        <v>6000000</v>
      </c>
      <c r="C65" s="4">
        <v>500000</v>
      </c>
      <c r="D65" s="4">
        <v>0</v>
      </c>
      <c r="E65" s="4">
        <f t="shared" si="72"/>
        <v>500000</v>
      </c>
      <c r="F65" s="4">
        <v>500000</v>
      </c>
      <c r="G65" s="4">
        <v>0</v>
      </c>
      <c r="H65" s="4">
        <f t="shared" si="73"/>
        <v>500000</v>
      </c>
      <c r="I65" s="4">
        <f>+'202401anual'!E105</f>
        <v>500000</v>
      </c>
      <c r="J65" s="4">
        <v>0</v>
      </c>
      <c r="K65" s="4">
        <f t="shared" si="90"/>
        <v>500000</v>
      </c>
      <c r="L65" s="4"/>
      <c r="M65" s="4"/>
      <c r="N65" s="4">
        <f t="shared" si="91"/>
        <v>0</v>
      </c>
      <c r="O65" s="4"/>
      <c r="P65" s="4">
        <v>0</v>
      </c>
      <c r="Q65" s="4">
        <f t="shared" si="92"/>
        <v>0</v>
      </c>
      <c r="R65" s="4"/>
      <c r="S65" s="4"/>
      <c r="T65" s="4">
        <f t="shared" si="93"/>
        <v>0</v>
      </c>
      <c r="U65" s="4"/>
      <c r="V65" s="4"/>
      <c r="W65" s="4">
        <f t="shared" si="94"/>
        <v>0</v>
      </c>
      <c r="X65" s="4"/>
      <c r="Y65" s="4"/>
      <c r="Z65" s="4">
        <f t="shared" si="95"/>
        <v>0</v>
      </c>
      <c r="AA65" s="4"/>
      <c r="AB65" s="4"/>
      <c r="AC65" s="4">
        <f t="shared" si="96"/>
        <v>0</v>
      </c>
      <c r="AD65" s="4"/>
      <c r="AE65" s="4"/>
      <c r="AF65" s="4">
        <f t="shared" si="81"/>
        <v>0</v>
      </c>
      <c r="AG65" s="4"/>
      <c r="AH65" s="4"/>
      <c r="AI65" s="4">
        <f t="shared" si="82"/>
        <v>0</v>
      </c>
      <c r="AJ65" s="4"/>
      <c r="AK65" s="4"/>
      <c r="AL65" s="4">
        <f t="shared" si="83"/>
        <v>0</v>
      </c>
      <c r="AM65" s="4">
        <f t="shared" si="97"/>
        <v>1500000</v>
      </c>
      <c r="AN65" s="4">
        <f t="shared" si="98"/>
        <v>0</v>
      </c>
      <c r="AO65" s="4">
        <f t="shared" si="99"/>
        <v>1500000</v>
      </c>
      <c r="AP65" s="43">
        <f t="shared" si="100"/>
        <v>100</v>
      </c>
      <c r="AQ65" s="34">
        <f t="shared" si="16"/>
        <v>-4500000</v>
      </c>
      <c r="AR65" s="38"/>
      <c r="AS65" s="38"/>
      <c r="AT65" s="2"/>
      <c r="AU65" s="2"/>
    </row>
    <row r="66" spans="1:47" x14ac:dyDescent="0.25">
      <c r="A66" s="21" t="s">
        <v>27</v>
      </c>
      <c r="B66" s="4">
        <v>3270000</v>
      </c>
      <c r="C66" s="4">
        <v>1090000</v>
      </c>
      <c r="D66" s="4">
        <v>0</v>
      </c>
      <c r="E66" s="4">
        <f t="shared" si="72"/>
        <v>1090000</v>
      </c>
      <c r="F66" s="4">
        <v>0</v>
      </c>
      <c r="G66" s="4">
        <v>2030900</v>
      </c>
      <c r="H66" s="4">
        <f t="shared" si="73"/>
        <v>-2030900</v>
      </c>
      <c r="I66" s="4">
        <f>+'202401anual'!E106</f>
        <v>0</v>
      </c>
      <c r="J66" s="4">
        <v>0</v>
      </c>
      <c r="K66" s="4">
        <f t="shared" si="90"/>
        <v>0</v>
      </c>
      <c r="L66" s="4"/>
      <c r="M66" s="4"/>
      <c r="N66" s="4">
        <f t="shared" si="91"/>
        <v>0</v>
      </c>
      <c r="O66" s="4"/>
      <c r="P66" s="4">
        <v>0</v>
      </c>
      <c r="Q66" s="4">
        <f t="shared" si="92"/>
        <v>0</v>
      </c>
      <c r="R66" s="4"/>
      <c r="S66" s="4"/>
      <c r="T66" s="4">
        <f t="shared" si="93"/>
        <v>0</v>
      </c>
      <c r="U66" s="4"/>
      <c r="V66" s="4"/>
      <c r="W66" s="4">
        <f t="shared" si="94"/>
        <v>0</v>
      </c>
      <c r="X66" s="4"/>
      <c r="Y66" s="4"/>
      <c r="Z66" s="4">
        <f t="shared" si="95"/>
        <v>0</v>
      </c>
      <c r="AA66" s="4"/>
      <c r="AB66" s="4"/>
      <c r="AC66" s="4">
        <f t="shared" si="96"/>
        <v>0</v>
      </c>
      <c r="AD66" s="4"/>
      <c r="AE66" s="4"/>
      <c r="AF66" s="4">
        <f t="shared" si="81"/>
        <v>0</v>
      </c>
      <c r="AG66" s="4"/>
      <c r="AH66" s="4"/>
      <c r="AI66" s="4">
        <f t="shared" si="82"/>
        <v>0</v>
      </c>
      <c r="AJ66" s="4"/>
      <c r="AK66" s="4"/>
      <c r="AL66" s="4">
        <f t="shared" si="83"/>
        <v>0</v>
      </c>
      <c r="AM66" s="4">
        <f t="shared" si="97"/>
        <v>1090000</v>
      </c>
      <c r="AN66" s="4">
        <f t="shared" si="98"/>
        <v>2030900</v>
      </c>
      <c r="AO66" s="4">
        <f t="shared" si="99"/>
        <v>-940900</v>
      </c>
      <c r="AP66" s="43">
        <f t="shared" si="100"/>
        <v>-86.321100917431195</v>
      </c>
      <c r="AQ66" s="34">
        <f t="shared" si="16"/>
        <v>-2180000</v>
      </c>
      <c r="AR66" s="38"/>
      <c r="AS66" s="38"/>
      <c r="AT66" s="2"/>
      <c r="AU66" s="2"/>
    </row>
    <row r="67" spans="1:47" x14ac:dyDescent="0.25">
      <c r="A67" s="21" t="s">
        <v>74</v>
      </c>
      <c r="B67" s="4">
        <f>+'202401anual'!B107</f>
        <v>21000000</v>
      </c>
      <c r="C67" s="4">
        <v>0</v>
      </c>
      <c r="D67" s="4">
        <v>0</v>
      </c>
      <c r="E67" s="4">
        <f t="shared" si="72"/>
        <v>0</v>
      </c>
      <c r="F67" s="4">
        <v>0</v>
      </c>
      <c r="G67" s="4">
        <v>0</v>
      </c>
      <c r="H67" s="4">
        <f t="shared" si="73"/>
        <v>0</v>
      </c>
      <c r="I67" s="4">
        <f>+'202401anual'!E107</f>
        <v>0</v>
      </c>
      <c r="J67" s="4">
        <v>0</v>
      </c>
      <c r="K67" s="4">
        <f t="shared" si="90"/>
        <v>0</v>
      </c>
      <c r="L67" s="4"/>
      <c r="M67" s="4"/>
      <c r="N67" s="4">
        <f t="shared" si="91"/>
        <v>0</v>
      </c>
      <c r="O67" s="4"/>
      <c r="P67" s="4">
        <v>0</v>
      </c>
      <c r="Q67" s="4">
        <f t="shared" si="92"/>
        <v>0</v>
      </c>
      <c r="R67" s="4"/>
      <c r="S67" s="4"/>
      <c r="T67" s="4">
        <f t="shared" si="93"/>
        <v>0</v>
      </c>
      <c r="U67" s="4"/>
      <c r="V67" s="4"/>
      <c r="W67" s="4">
        <f t="shared" si="94"/>
        <v>0</v>
      </c>
      <c r="X67" s="4"/>
      <c r="Y67" s="4"/>
      <c r="Z67" s="4">
        <f t="shared" si="95"/>
        <v>0</v>
      </c>
      <c r="AA67" s="4"/>
      <c r="AB67" s="4"/>
      <c r="AC67" s="4">
        <f t="shared" si="96"/>
        <v>0</v>
      </c>
      <c r="AD67" s="4"/>
      <c r="AE67" s="4"/>
      <c r="AF67" s="4">
        <f t="shared" si="81"/>
        <v>0</v>
      </c>
      <c r="AG67" s="4"/>
      <c r="AH67" s="4"/>
      <c r="AI67" s="4">
        <f t="shared" si="82"/>
        <v>0</v>
      </c>
      <c r="AJ67" s="4"/>
      <c r="AK67" s="4"/>
      <c r="AL67" s="4">
        <f t="shared" si="83"/>
        <v>0</v>
      </c>
      <c r="AM67" s="4">
        <f t="shared" si="97"/>
        <v>0</v>
      </c>
      <c r="AN67" s="4">
        <f t="shared" si="98"/>
        <v>0</v>
      </c>
      <c r="AO67" s="4">
        <f t="shared" si="99"/>
        <v>0</v>
      </c>
      <c r="AP67" s="43" t="e">
        <f t="shared" si="100"/>
        <v>#DIV/0!</v>
      </c>
      <c r="AQ67" s="34">
        <f t="shared" si="16"/>
        <v>-21000000</v>
      </c>
      <c r="AR67" s="38"/>
      <c r="AS67" s="38"/>
      <c r="AT67" s="2"/>
      <c r="AU67" s="2"/>
    </row>
    <row r="68" spans="1:47" x14ac:dyDescent="0.25">
      <c r="A68" s="21" t="s">
        <v>28</v>
      </c>
      <c r="B68" s="4">
        <v>10064000</v>
      </c>
      <c r="C68" s="4">
        <v>0</v>
      </c>
      <c r="D68" s="4">
        <v>0</v>
      </c>
      <c r="E68" s="4">
        <f t="shared" si="72"/>
        <v>0</v>
      </c>
      <c r="F68" s="4">
        <v>0</v>
      </c>
      <c r="G68" s="4">
        <v>0</v>
      </c>
      <c r="H68" s="4">
        <f t="shared" si="73"/>
        <v>0</v>
      </c>
      <c r="I68" s="4">
        <f>+'202401anual'!E108</f>
        <v>0</v>
      </c>
      <c r="J68" s="4">
        <v>0</v>
      </c>
      <c r="K68" s="4">
        <f t="shared" si="90"/>
        <v>0</v>
      </c>
      <c r="L68" s="4"/>
      <c r="M68" s="4"/>
      <c r="N68" s="4">
        <f t="shared" si="91"/>
        <v>0</v>
      </c>
      <c r="O68" s="4"/>
      <c r="P68" s="4">
        <v>0</v>
      </c>
      <c r="Q68" s="4">
        <f t="shared" si="92"/>
        <v>0</v>
      </c>
      <c r="R68" s="4"/>
      <c r="S68" s="4"/>
      <c r="T68" s="4">
        <f t="shared" si="93"/>
        <v>0</v>
      </c>
      <c r="U68" s="4"/>
      <c r="V68" s="4"/>
      <c r="W68" s="4">
        <f t="shared" si="94"/>
        <v>0</v>
      </c>
      <c r="X68" s="4"/>
      <c r="Y68" s="4"/>
      <c r="Z68" s="4">
        <f t="shared" si="95"/>
        <v>0</v>
      </c>
      <c r="AA68" s="4"/>
      <c r="AB68" s="4"/>
      <c r="AC68" s="4">
        <f t="shared" si="96"/>
        <v>0</v>
      </c>
      <c r="AD68" s="4"/>
      <c r="AE68" s="4"/>
      <c r="AF68" s="4">
        <f t="shared" si="81"/>
        <v>0</v>
      </c>
      <c r="AG68" s="4"/>
      <c r="AH68" s="4"/>
      <c r="AI68" s="4">
        <f t="shared" si="82"/>
        <v>0</v>
      </c>
      <c r="AJ68" s="4"/>
      <c r="AK68" s="4"/>
      <c r="AL68" s="4">
        <f t="shared" si="83"/>
        <v>0</v>
      </c>
      <c r="AM68" s="4">
        <f t="shared" si="97"/>
        <v>0</v>
      </c>
      <c r="AN68" s="4">
        <f t="shared" si="98"/>
        <v>0</v>
      </c>
      <c r="AO68" s="4">
        <f t="shared" si="99"/>
        <v>0</v>
      </c>
      <c r="AP68" s="43" t="e">
        <f t="shared" si="100"/>
        <v>#DIV/0!</v>
      </c>
      <c r="AQ68" s="34">
        <f t="shared" si="16"/>
        <v>-10064000</v>
      </c>
      <c r="AR68" s="38"/>
      <c r="AS68" s="38"/>
      <c r="AT68" s="2"/>
      <c r="AU68" s="2"/>
    </row>
    <row r="69" spans="1:47" ht="15" customHeight="1" x14ac:dyDescent="0.25">
      <c r="A69" s="21" t="s">
        <v>183</v>
      </c>
      <c r="B69" s="4">
        <v>36000000</v>
      </c>
      <c r="C69" s="4">
        <v>0</v>
      </c>
      <c r="D69" s="4">
        <v>0</v>
      </c>
      <c r="E69" s="4">
        <f t="shared" si="72"/>
        <v>0</v>
      </c>
      <c r="F69" s="4">
        <v>0</v>
      </c>
      <c r="G69" s="4">
        <v>6141300</v>
      </c>
      <c r="H69" s="4">
        <f t="shared" si="73"/>
        <v>-6141300</v>
      </c>
      <c r="I69" s="4">
        <f>+'202401anual'!E110</f>
        <v>3500000</v>
      </c>
      <c r="J69" s="4">
        <v>4250000</v>
      </c>
      <c r="K69" s="4">
        <f t="shared" si="90"/>
        <v>-750000</v>
      </c>
      <c r="L69" s="4"/>
      <c r="M69" s="4"/>
      <c r="N69" s="4">
        <f t="shared" si="91"/>
        <v>0</v>
      </c>
      <c r="O69" s="4"/>
      <c r="P69" s="4"/>
      <c r="Q69" s="4">
        <f t="shared" si="92"/>
        <v>0</v>
      </c>
      <c r="R69" s="4"/>
      <c r="S69" s="4"/>
      <c r="T69" s="4">
        <f t="shared" si="93"/>
        <v>0</v>
      </c>
      <c r="U69" s="4"/>
      <c r="V69" s="4"/>
      <c r="W69" s="4">
        <f t="shared" si="94"/>
        <v>0</v>
      </c>
      <c r="X69" s="4"/>
      <c r="Y69" s="4"/>
      <c r="Z69" s="4">
        <f t="shared" si="95"/>
        <v>0</v>
      </c>
      <c r="AA69" s="4"/>
      <c r="AB69" s="4"/>
      <c r="AC69" s="4">
        <f t="shared" si="96"/>
        <v>0</v>
      </c>
      <c r="AD69" s="4"/>
      <c r="AE69" s="4"/>
      <c r="AF69" s="4">
        <f t="shared" si="81"/>
        <v>0</v>
      </c>
      <c r="AG69" s="4"/>
      <c r="AH69" s="4"/>
      <c r="AI69" s="4">
        <f t="shared" si="82"/>
        <v>0</v>
      </c>
      <c r="AJ69" s="4">
        <f>+'202401anual'!N108</f>
        <v>0</v>
      </c>
      <c r="AK69" s="4"/>
      <c r="AL69" s="4">
        <f t="shared" si="83"/>
        <v>0</v>
      </c>
      <c r="AM69" s="4">
        <f t="shared" si="97"/>
        <v>3500000</v>
      </c>
      <c r="AN69" s="4">
        <f t="shared" si="98"/>
        <v>10391300</v>
      </c>
      <c r="AO69" s="4">
        <f t="shared" si="99"/>
        <v>-6891300</v>
      </c>
      <c r="AP69" s="43">
        <f t="shared" si="100"/>
        <v>-196.8942857142857</v>
      </c>
      <c r="AQ69" s="34">
        <f t="shared" si="16"/>
        <v>-32500000</v>
      </c>
      <c r="AR69" s="38"/>
      <c r="AS69" s="38"/>
      <c r="AT69" s="2"/>
      <c r="AU69" s="2"/>
    </row>
    <row r="70" spans="1:47" ht="15" customHeight="1" x14ac:dyDescent="0.25">
      <c r="A70" s="21" t="s">
        <v>150</v>
      </c>
      <c r="B70" s="4">
        <v>22036000</v>
      </c>
      <c r="C70" s="4">
        <v>0</v>
      </c>
      <c r="D70" s="4"/>
      <c r="E70" s="4">
        <f t="shared" si="72"/>
        <v>0</v>
      </c>
      <c r="F70" s="4">
        <v>0</v>
      </c>
      <c r="G70" s="4">
        <v>0</v>
      </c>
      <c r="H70" s="4">
        <f t="shared" si="73"/>
        <v>0</v>
      </c>
      <c r="I70" s="4">
        <f>+'202401anual'!E111</f>
        <v>0</v>
      </c>
      <c r="J70" s="4">
        <v>0</v>
      </c>
      <c r="K70" s="4">
        <f t="shared" si="90"/>
        <v>0</v>
      </c>
      <c r="L70" s="4"/>
      <c r="M70" s="4"/>
      <c r="N70" s="4">
        <f t="shared" si="91"/>
        <v>0</v>
      </c>
      <c r="O70" s="4"/>
      <c r="P70" s="4"/>
      <c r="Q70" s="4">
        <f t="shared" si="92"/>
        <v>0</v>
      </c>
      <c r="R70" s="4"/>
      <c r="S70" s="4"/>
      <c r="T70" s="4">
        <f t="shared" si="93"/>
        <v>0</v>
      </c>
      <c r="U70" s="4"/>
      <c r="V70" s="4"/>
      <c r="W70" s="4">
        <f t="shared" si="94"/>
        <v>0</v>
      </c>
      <c r="X70" s="4"/>
      <c r="Y70" s="4"/>
      <c r="Z70" s="4">
        <f t="shared" si="95"/>
        <v>0</v>
      </c>
      <c r="AA70" s="4">
        <f>+'202401anual'!K109</f>
        <v>0</v>
      </c>
      <c r="AB70" s="4"/>
      <c r="AC70" s="4">
        <f t="shared" si="96"/>
        <v>0</v>
      </c>
      <c r="AD70" s="4"/>
      <c r="AE70" s="4"/>
      <c r="AF70" s="4">
        <f t="shared" si="81"/>
        <v>0</v>
      </c>
      <c r="AG70" s="4">
        <f>+'202401anual'!M109</f>
        <v>0</v>
      </c>
      <c r="AH70" s="4"/>
      <c r="AI70" s="4">
        <f t="shared" si="82"/>
        <v>0</v>
      </c>
      <c r="AJ70" s="4">
        <f>+'202401anual'!N109</f>
        <v>0</v>
      </c>
      <c r="AK70" s="4"/>
      <c r="AL70" s="4">
        <f t="shared" si="83"/>
        <v>0</v>
      </c>
      <c r="AM70" s="4">
        <f t="shared" si="97"/>
        <v>0</v>
      </c>
      <c r="AN70" s="4">
        <f t="shared" si="98"/>
        <v>0</v>
      </c>
      <c r="AO70" s="4">
        <f t="shared" si="99"/>
        <v>0</v>
      </c>
      <c r="AP70" s="43" t="e">
        <f t="shared" si="100"/>
        <v>#DIV/0!</v>
      </c>
      <c r="AQ70" s="34">
        <f t="shared" si="16"/>
        <v>-22036000</v>
      </c>
      <c r="AR70" s="38"/>
      <c r="AS70" s="38"/>
      <c r="AT70" s="2"/>
      <c r="AU70" s="2"/>
    </row>
    <row r="71" spans="1:47" x14ac:dyDescent="0.25">
      <c r="A71" s="21" t="s">
        <v>82</v>
      </c>
      <c r="B71" s="4">
        <f>+'202401anual'!B112</f>
        <v>29264000</v>
      </c>
      <c r="C71" s="4">
        <v>0</v>
      </c>
      <c r="D71" s="4">
        <v>0</v>
      </c>
      <c r="E71" s="4">
        <f t="shared" si="72"/>
        <v>0</v>
      </c>
      <c r="F71" s="4">
        <v>2044000</v>
      </c>
      <c r="G71" s="4">
        <v>1359645.83</v>
      </c>
      <c r="H71" s="4">
        <f t="shared" si="73"/>
        <v>684354.16999999993</v>
      </c>
      <c r="I71" s="4">
        <f>+'202401anual'!E112</f>
        <v>5000000</v>
      </c>
      <c r="J71" s="4">
        <v>1040643</v>
      </c>
      <c r="K71" s="4">
        <f t="shared" si="90"/>
        <v>3959357</v>
      </c>
      <c r="L71" s="4"/>
      <c r="M71" s="4"/>
      <c r="N71" s="4">
        <f t="shared" si="91"/>
        <v>0</v>
      </c>
      <c r="O71" s="4"/>
      <c r="P71" s="4"/>
      <c r="Q71" s="4">
        <f t="shared" si="92"/>
        <v>0</v>
      </c>
      <c r="R71" s="4"/>
      <c r="S71" s="4">
        <v>0</v>
      </c>
      <c r="T71" s="4">
        <f t="shared" si="93"/>
        <v>0</v>
      </c>
      <c r="U71" s="4"/>
      <c r="V71" s="4"/>
      <c r="W71" s="4">
        <f t="shared" si="94"/>
        <v>0</v>
      </c>
      <c r="X71" s="4"/>
      <c r="Y71" s="4"/>
      <c r="Z71" s="4">
        <f t="shared" si="95"/>
        <v>0</v>
      </c>
      <c r="AA71" s="4"/>
      <c r="AB71" s="4"/>
      <c r="AC71" s="4">
        <f t="shared" si="96"/>
        <v>0</v>
      </c>
      <c r="AD71" s="4"/>
      <c r="AE71" s="4"/>
      <c r="AF71" s="4">
        <f t="shared" si="81"/>
        <v>0</v>
      </c>
      <c r="AG71" s="4"/>
      <c r="AH71" s="4"/>
      <c r="AI71" s="4">
        <f t="shared" si="82"/>
        <v>0</v>
      </c>
      <c r="AJ71" s="4"/>
      <c r="AK71" s="4"/>
      <c r="AL71" s="4">
        <f t="shared" si="83"/>
        <v>0</v>
      </c>
      <c r="AM71" s="4">
        <f t="shared" si="97"/>
        <v>7044000</v>
      </c>
      <c r="AN71" s="4">
        <f t="shared" si="98"/>
        <v>2400288.83</v>
      </c>
      <c r="AO71" s="4">
        <f t="shared" si="99"/>
        <v>4643711.17</v>
      </c>
      <c r="AP71" s="43">
        <f t="shared" si="100"/>
        <v>65.924349375354907</v>
      </c>
      <c r="AQ71" s="34">
        <f t="shared" si="16"/>
        <v>-22220000</v>
      </c>
      <c r="AR71" s="38"/>
      <c r="AS71" s="38"/>
      <c r="AT71" s="2"/>
      <c r="AU71" s="2"/>
    </row>
    <row r="72" spans="1:47" ht="15" hidden="1" customHeight="1" x14ac:dyDescent="0.25">
      <c r="A72" s="21" t="s">
        <v>81</v>
      </c>
      <c r="B72" s="4">
        <v>0</v>
      </c>
      <c r="C72" s="4">
        <v>0</v>
      </c>
      <c r="D72" s="4"/>
      <c r="E72" s="4">
        <f t="shared" si="72"/>
        <v>0</v>
      </c>
      <c r="F72" s="4">
        <v>0</v>
      </c>
      <c r="G72" s="4">
        <v>0</v>
      </c>
      <c r="H72" s="4">
        <f t="shared" si="73"/>
        <v>0</v>
      </c>
      <c r="I72" s="4"/>
      <c r="J72" s="4">
        <v>0</v>
      </c>
      <c r="K72" s="4">
        <f t="shared" si="90"/>
        <v>0</v>
      </c>
      <c r="L72" s="4"/>
      <c r="M72" s="4"/>
      <c r="N72" s="4">
        <f t="shared" si="91"/>
        <v>0</v>
      </c>
      <c r="O72" s="4"/>
      <c r="P72" s="4"/>
      <c r="Q72" s="4">
        <f t="shared" si="92"/>
        <v>0</v>
      </c>
      <c r="R72" s="4"/>
      <c r="S72" s="4"/>
      <c r="T72" s="4">
        <f t="shared" si="93"/>
        <v>0</v>
      </c>
      <c r="U72" s="4"/>
      <c r="V72" s="4"/>
      <c r="W72" s="4">
        <f t="shared" si="94"/>
        <v>0</v>
      </c>
      <c r="X72" s="4"/>
      <c r="Y72" s="4"/>
      <c r="Z72" s="4">
        <f t="shared" si="95"/>
        <v>0</v>
      </c>
      <c r="AA72" s="4">
        <v>0</v>
      </c>
      <c r="AB72" s="4"/>
      <c r="AC72" s="4">
        <f t="shared" si="96"/>
        <v>0</v>
      </c>
      <c r="AD72" s="4">
        <v>0</v>
      </c>
      <c r="AE72" s="4"/>
      <c r="AF72" s="4">
        <f t="shared" si="81"/>
        <v>0</v>
      </c>
      <c r="AG72" s="4">
        <v>0</v>
      </c>
      <c r="AH72" s="4"/>
      <c r="AI72" s="4">
        <f t="shared" si="82"/>
        <v>0</v>
      </c>
      <c r="AJ72" s="4">
        <v>0</v>
      </c>
      <c r="AK72" s="4"/>
      <c r="AL72" s="4">
        <f t="shared" si="83"/>
        <v>0</v>
      </c>
      <c r="AM72" s="4">
        <f t="shared" si="97"/>
        <v>0</v>
      </c>
      <c r="AN72" s="4">
        <f t="shared" si="98"/>
        <v>0</v>
      </c>
      <c r="AO72" s="4">
        <f t="shared" si="99"/>
        <v>0</v>
      </c>
      <c r="AP72" s="43" t="e">
        <f t="shared" si="100"/>
        <v>#DIV/0!</v>
      </c>
      <c r="AQ72" s="34">
        <f t="shared" si="16"/>
        <v>0</v>
      </c>
      <c r="AR72" s="38"/>
      <c r="AS72" s="38"/>
      <c r="AT72" s="2"/>
      <c r="AU72" s="2"/>
    </row>
    <row r="73" spans="1:47" ht="15" customHeight="1" x14ac:dyDescent="0.25">
      <c r="A73" s="21" t="s">
        <v>78</v>
      </c>
      <c r="B73" s="4">
        <v>3000000</v>
      </c>
      <c r="C73" s="4">
        <v>250000</v>
      </c>
      <c r="D73" s="4">
        <v>7900</v>
      </c>
      <c r="E73" s="4">
        <f t="shared" si="72"/>
        <v>242100</v>
      </c>
      <c r="F73" s="4">
        <v>250000</v>
      </c>
      <c r="G73" s="4">
        <v>7900</v>
      </c>
      <c r="H73" s="4">
        <f t="shared" si="73"/>
        <v>242100</v>
      </c>
      <c r="I73" s="4">
        <f>+'202401anual'!E115</f>
        <v>250000</v>
      </c>
      <c r="J73" s="4">
        <v>0</v>
      </c>
      <c r="K73" s="4">
        <f t="shared" si="90"/>
        <v>250000</v>
      </c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>
        <f t="shared" si="97"/>
        <v>750000</v>
      </c>
      <c r="AN73" s="4">
        <f t="shared" si="98"/>
        <v>15800</v>
      </c>
      <c r="AO73" s="4">
        <f t="shared" si="99"/>
        <v>734200</v>
      </c>
      <c r="AP73" s="43">
        <f t="shared" si="100"/>
        <v>97.893333333333331</v>
      </c>
      <c r="AQ73" s="34"/>
      <c r="AR73" s="38"/>
      <c r="AS73" s="38"/>
      <c r="AT73" s="2"/>
      <c r="AU73" s="2"/>
    </row>
    <row r="74" spans="1:47" ht="15" customHeight="1" x14ac:dyDescent="0.25">
      <c r="A74" s="21" t="s">
        <v>148</v>
      </c>
      <c r="B74" s="4">
        <f>+'202401anual'!B116</f>
        <v>76000000</v>
      </c>
      <c r="C74" s="4">
        <v>0</v>
      </c>
      <c r="D74" s="4">
        <v>0</v>
      </c>
      <c r="E74" s="4">
        <f t="shared" si="72"/>
        <v>0</v>
      </c>
      <c r="F74" s="4">
        <v>0</v>
      </c>
      <c r="G74" s="4">
        <v>0</v>
      </c>
      <c r="H74" s="4">
        <f t="shared" si="73"/>
        <v>0</v>
      </c>
      <c r="I74" s="4">
        <f>+'202401anual'!E116</f>
        <v>4000000</v>
      </c>
      <c r="J74" s="4">
        <v>0</v>
      </c>
      <c r="K74" s="4">
        <f t="shared" si="90"/>
        <v>4000000</v>
      </c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>
        <f t="shared" si="97"/>
        <v>4000000</v>
      </c>
      <c r="AN74" s="4">
        <f t="shared" si="98"/>
        <v>0</v>
      </c>
      <c r="AO74" s="4">
        <f t="shared" si="99"/>
        <v>4000000</v>
      </c>
      <c r="AP74" s="43">
        <f t="shared" si="100"/>
        <v>100</v>
      </c>
      <c r="AQ74" s="34"/>
      <c r="AR74" s="38"/>
      <c r="AS74" s="38"/>
      <c r="AT74" s="2"/>
      <c r="AU74" s="2"/>
    </row>
    <row r="75" spans="1:47" ht="15" customHeight="1" x14ac:dyDescent="0.25">
      <c r="A75" s="21" t="s">
        <v>149</v>
      </c>
      <c r="B75" s="4">
        <f>+'202401anual'!B117</f>
        <v>14000000</v>
      </c>
      <c r="C75" s="4">
        <v>0</v>
      </c>
      <c r="D75" s="4">
        <v>0</v>
      </c>
      <c r="E75" s="4">
        <f t="shared" si="72"/>
        <v>0</v>
      </c>
      <c r="F75" s="4">
        <v>0</v>
      </c>
      <c r="G75" s="4">
        <v>0</v>
      </c>
      <c r="H75" s="4">
        <f t="shared" si="73"/>
        <v>0</v>
      </c>
      <c r="I75" s="4">
        <f>+'202401anual'!E117</f>
        <v>0</v>
      </c>
      <c r="J75" s="4">
        <v>0</v>
      </c>
      <c r="K75" s="4">
        <f t="shared" si="90"/>
        <v>0</v>
      </c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>
        <f t="shared" si="97"/>
        <v>0</v>
      </c>
      <c r="AN75" s="4">
        <f t="shared" si="98"/>
        <v>0</v>
      </c>
      <c r="AO75" s="4">
        <f t="shared" si="99"/>
        <v>0</v>
      </c>
      <c r="AP75" s="43" t="e">
        <f t="shared" si="100"/>
        <v>#DIV/0!</v>
      </c>
      <c r="AQ75" s="34"/>
      <c r="AR75" s="38"/>
      <c r="AS75" s="38"/>
      <c r="AT75" s="2"/>
      <c r="AU75" s="2"/>
    </row>
    <row r="76" spans="1:47" ht="15" customHeight="1" x14ac:dyDescent="0.25">
      <c r="A76" s="21" t="s">
        <v>187</v>
      </c>
      <c r="B76" s="4">
        <f>+'202401anual'!B119</f>
        <v>10000000</v>
      </c>
      <c r="C76" s="4">
        <v>7000000</v>
      </c>
      <c r="D76" s="4">
        <v>2166666</v>
      </c>
      <c r="E76" s="4">
        <f t="shared" si="72"/>
        <v>4833334</v>
      </c>
      <c r="F76" s="4">
        <v>0</v>
      </c>
      <c r="G76" s="4">
        <v>0</v>
      </c>
      <c r="H76" s="4">
        <f t="shared" si="73"/>
        <v>0</v>
      </c>
      <c r="I76" s="4">
        <f>+'202401anual'!E119</f>
        <v>0</v>
      </c>
      <c r="J76" s="4">
        <v>0</v>
      </c>
      <c r="K76" s="4">
        <f t="shared" si="90"/>
        <v>0</v>
      </c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>
        <f t="shared" si="97"/>
        <v>7000000</v>
      </c>
      <c r="AN76" s="4">
        <f t="shared" si="98"/>
        <v>2166666</v>
      </c>
      <c r="AO76" s="4">
        <f t="shared" si="99"/>
        <v>4833334</v>
      </c>
      <c r="AP76" s="43">
        <f t="shared" si="100"/>
        <v>69.047628571428575</v>
      </c>
      <c r="AQ76" s="34"/>
      <c r="AR76" s="38"/>
      <c r="AS76" s="38"/>
      <c r="AT76" s="2"/>
      <c r="AU76" s="2"/>
    </row>
    <row r="77" spans="1:47" ht="15" customHeight="1" x14ac:dyDescent="0.25">
      <c r="A77" s="21" t="s">
        <v>33</v>
      </c>
      <c r="B77" s="4">
        <v>9825000</v>
      </c>
      <c r="C77" s="4">
        <v>0</v>
      </c>
      <c r="D77" s="4">
        <v>0</v>
      </c>
      <c r="E77" s="4">
        <f t="shared" si="72"/>
        <v>0</v>
      </c>
      <c r="F77" s="4">
        <v>0</v>
      </c>
      <c r="G77" s="4">
        <v>0</v>
      </c>
      <c r="H77" s="4">
        <f t="shared" si="73"/>
        <v>0</v>
      </c>
      <c r="I77" s="4">
        <f>+'202401anual'!E131</f>
        <v>982500</v>
      </c>
      <c r="J77" s="4">
        <v>0</v>
      </c>
      <c r="K77" s="4">
        <f t="shared" si="90"/>
        <v>982500</v>
      </c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>
        <f t="shared" si="97"/>
        <v>982500</v>
      </c>
      <c r="AN77" s="4">
        <f t="shared" si="98"/>
        <v>0</v>
      </c>
      <c r="AO77" s="4">
        <f t="shared" si="99"/>
        <v>982500</v>
      </c>
      <c r="AP77" s="43">
        <f t="shared" si="100"/>
        <v>100</v>
      </c>
      <c r="AQ77" s="34"/>
      <c r="AR77" s="38"/>
      <c r="AS77" s="38"/>
      <c r="AT77" s="2"/>
      <c r="AU77" s="2"/>
    </row>
    <row r="78" spans="1:47" ht="15" customHeight="1" x14ac:dyDescent="0.25">
      <c r="A78" s="5" t="s">
        <v>68</v>
      </c>
      <c r="B78" s="4">
        <v>48000000</v>
      </c>
      <c r="C78" s="4">
        <v>4000000</v>
      </c>
      <c r="D78" s="4">
        <v>5711400</v>
      </c>
      <c r="E78" s="4">
        <f t="shared" si="72"/>
        <v>-1711400</v>
      </c>
      <c r="F78" s="4">
        <v>4000000</v>
      </c>
      <c r="G78" s="4">
        <v>6387300</v>
      </c>
      <c r="H78" s="4">
        <f t="shared" si="73"/>
        <v>-2387300</v>
      </c>
      <c r="I78" s="4">
        <f>+'202401anual'!E133</f>
        <v>4000000</v>
      </c>
      <c r="J78" s="4">
        <v>8787600</v>
      </c>
      <c r="K78" s="4">
        <f t="shared" si="90"/>
        <v>-4787600</v>
      </c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>
        <f t="shared" si="97"/>
        <v>12000000</v>
      </c>
      <c r="AN78" s="4">
        <f t="shared" si="98"/>
        <v>20886300</v>
      </c>
      <c r="AO78" s="4">
        <f t="shared" si="99"/>
        <v>-8886300</v>
      </c>
      <c r="AP78" s="43">
        <f t="shared" si="100"/>
        <v>-74.052499999999995</v>
      </c>
      <c r="AQ78" s="34"/>
      <c r="AR78" s="38"/>
      <c r="AS78" s="38"/>
      <c r="AT78" s="2"/>
      <c r="AU78" s="2"/>
    </row>
    <row r="79" spans="1:47" ht="15" customHeight="1" x14ac:dyDescent="0.25">
      <c r="A79" s="5" t="s">
        <v>86</v>
      </c>
      <c r="B79" s="4">
        <v>39052465</v>
      </c>
      <c r="C79" s="4">
        <v>3254372.0833333335</v>
      </c>
      <c r="D79" s="4">
        <v>2267882</v>
      </c>
      <c r="E79" s="4">
        <f t="shared" si="72"/>
        <v>986490.08333333349</v>
      </c>
      <c r="F79" s="4">
        <v>3254372.0833333335</v>
      </c>
      <c r="G79" s="4">
        <v>2447184</v>
      </c>
      <c r="H79" s="4">
        <f t="shared" si="73"/>
        <v>807188.08333333349</v>
      </c>
      <c r="I79" s="4">
        <f>+'202401anual'!E134</f>
        <v>3254372.0833333335</v>
      </c>
      <c r="J79" s="4">
        <v>0</v>
      </c>
      <c r="K79" s="4">
        <f t="shared" si="90"/>
        <v>3254372.0833333335</v>
      </c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>
        <f t="shared" si="97"/>
        <v>9763116.25</v>
      </c>
      <c r="AN79" s="4">
        <f t="shared" si="98"/>
        <v>4715066</v>
      </c>
      <c r="AO79" s="4">
        <f t="shared" si="99"/>
        <v>5048050.25</v>
      </c>
      <c r="AP79" s="43">
        <f t="shared" si="100"/>
        <v>51.705317449231437</v>
      </c>
      <c r="AQ79" s="34"/>
      <c r="AR79" s="38"/>
      <c r="AS79" s="38"/>
      <c r="AT79" s="2"/>
      <c r="AU79" s="2"/>
    </row>
    <row r="80" spans="1:47" ht="15" customHeight="1" x14ac:dyDescent="0.25">
      <c r="A80" s="5" t="s">
        <v>76</v>
      </c>
      <c r="B80" s="4">
        <v>9000000</v>
      </c>
      <c r="C80" s="4">
        <v>0</v>
      </c>
      <c r="D80" s="4">
        <v>0</v>
      </c>
      <c r="E80" s="4">
        <f t="shared" si="72"/>
        <v>0</v>
      </c>
      <c r="F80" s="4">
        <v>6000000</v>
      </c>
      <c r="G80" s="4">
        <v>0</v>
      </c>
      <c r="H80" s="4">
        <f t="shared" si="73"/>
        <v>6000000</v>
      </c>
      <c r="I80" s="4">
        <f>+'202401anual'!E136</f>
        <v>0</v>
      </c>
      <c r="J80" s="4">
        <v>0</v>
      </c>
      <c r="K80" s="4">
        <f t="shared" si="90"/>
        <v>0</v>
      </c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>
        <f t="shared" si="97"/>
        <v>6000000</v>
      </c>
      <c r="AN80" s="4">
        <f t="shared" si="98"/>
        <v>0</v>
      </c>
      <c r="AO80" s="4">
        <f t="shared" si="99"/>
        <v>6000000</v>
      </c>
      <c r="AP80" s="43">
        <f t="shared" si="100"/>
        <v>100</v>
      </c>
      <c r="AQ80" s="34"/>
      <c r="AR80" s="38"/>
      <c r="AS80" s="38"/>
      <c r="AT80" s="2"/>
      <c r="AU80" s="2"/>
    </row>
    <row r="81" spans="1:47" ht="15" customHeight="1" x14ac:dyDescent="0.25">
      <c r="A81" s="5" t="s">
        <v>61</v>
      </c>
      <c r="B81" s="4">
        <v>10000000</v>
      </c>
      <c r="C81" s="4">
        <v>0</v>
      </c>
      <c r="D81" s="4">
        <v>0</v>
      </c>
      <c r="E81" s="4">
        <f t="shared" si="72"/>
        <v>0</v>
      </c>
      <c r="F81" s="4">
        <v>0</v>
      </c>
      <c r="G81" s="4">
        <v>0</v>
      </c>
      <c r="H81" s="4">
        <f t="shared" si="73"/>
        <v>0</v>
      </c>
      <c r="I81" s="4">
        <f>+'202401anual'!E137</f>
        <v>0</v>
      </c>
      <c r="J81" s="4">
        <v>0</v>
      </c>
      <c r="K81" s="4">
        <f t="shared" si="90"/>
        <v>0</v>
      </c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>
        <f t="shared" si="97"/>
        <v>0</v>
      </c>
      <c r="AN81" s="4">
        <f t="shared" si="98"/>
        <v>0</v>
      </c>
      <c r="AO81" s="4">
        <f t="shared" si="99"/>
        <v>0</v>
      </c>
      <c r="AP81" s="43" t="e">
        <f t="shared" si="100"/>
        <v>#DIV/0!</v>
      </c>
      <c r="AQ81" s="34"/>
      <c r="AR81" s="38"/>
      <c r="AS81" s="38"/>
      <c r="AT81" s="2"/>
      <c r="AU81" s="2"/>
    </row>
    <row r="82" spans="1:47" ht="15" customHeight="1" x14ac:dyDescent="0.25">
      <c r="A82" s="5" t="s">
        <v>194</v>
      </c>
      <c r="B82" s="46">
        <v>137548000</v>
      </c>
      <c r="C82" s="4">
        <v>8200000</v>
      </c>
      <c r="D82" s="4">
        <v>4774760</v>
      </c>
      <c r="E82" s="4">
        <f t="shared" si="72"/>
        <v>3425240</v>
      </c>
      <c r="F82" s="4">
        <v>8200000</v>
      </c>
      <c r="G82" s="4">
        <v>8012725</v>
      </c>
      <c r="H82" s="4">
        <f t="shared" si="73"/>
        <v>187275</v>
      </c>
      <c r="I82" s="4">
        <f>+'202401anual'!E138-27000000</f>
        <v>774000</v>
      </c>
      <c r="J82" s="4">
        <v>463094</v>
      </c>
      <c r="K82" s="4">
        <f t="shared" si="90"/>
        <v>310906</v>
      </c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>
        <f t="shared" si="97"/>
        <v>17174000</v>
      </c>
      <c r="AN82" s="4">
        <f t="shared" si="98"/>
        <v>13250579</v>
      </c>
      <c r="AO82" s="4">
        <f t="shared" si="99"/>
        <v>3923421</v>
      </c>
      <c r="AP82" s="43">
        <f t="shared" si="100"/>
        <v>22.845120531035288</v>
      </c>
      <c r="AQ82" s="34"/>
      <c r="AR82" s="38"/>
      <c r="AS82" s="38"/>
      <c r="AT82" s="2"/>
      <c r="AU82" s="2"/>
    </row>
    <row r="83" spans="1:47" ht="15" customHeight="1" x14ac:dyDescent="0.25">
      <c r="A83" s="5" t="s">
        <v>83</v>
      </c>
      <c r="B83" s="4">
        <v>6000000</v>
      </c>
      <c r="C83" s="4">
        <v>500000</v>
      </c>
      <c r="D83" s="4">
        <v>0</v>
      </c>
      <c r="E83" s="4">
        <f t="shared" si="72"/>
        <v>500000</v>
      </c>
      <c r="F83" s="4">
        <v>500000</v>
      </c>
      <c r="G83" s="4">
        <v>0</v>
      </c>
      <c r="H83" s="4">
        <f t="shared" si="73"/>
        <v>500000</v>
      </c>
      <c r="I83" s="4">
        <f>+'202401anual'!E139</f>
        <v>500000</v>
      </c>
      <c r="J83" s="4">
        <v>0</v>
      </c>
      <c r="K83" s="4">
        <f t="shared" si="90"/>
        <v>500000</v>
      </c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>
        <f t="shared" si="97"/>
        <v>1500000</v>
      </c>
      <c r="AN83" s="4">
        <f t="shared" si="98"/>
        <v>0</v>
      </c>
      <c r="AO83" s="4">
        <f t="shared" si="99"/>
        <v>1500000</v>
      </c>
      <c r="AP83" s="43">
        <f t="shared" si="100"/>
        <v>100</v>
      </c>
      <c r="AQ83" s="34"/>
      <c r="AR83" s="38"/>
      <c r="AS83" s="38"/>
      <c r="AT83" s="2"/>
      <c r="AU83" s="2"/>
    </row>
    <row r="84" spans="1:47" ht="15" customHeight="1" x14ac:dyDescent="0.25">
      <c r="A84" s="5" t="s">
        <v>56</v>
      </c>
      <c r="B84" s="4">
        <v>18100000</v>
      </c>
      <c r="C84" s="4">
        <v>1508333.3333333333</v>
      </c>
      <c r="D84" s="4">
        <v>0</v>
      </c>
      <c r="E84" s="4">
        <f t="shared" si="72"/>
        <v>1508333.3333333333</v>
      </c>
      <c r="F84" s="4">
        <v>1508333.3333333333</v>
      </c>
      <c r="G84" s="4">
        <v>0</v>
      </c>
      <c r="H84" s="4">
        <f t="shared" si="73"/>
        <v>1508333.3333333333</v>
      </c>
      <c r="I84" s="4">
        <f>+'202401anual'!E140</f>
        <v>1508333.3333333333</v>
      </c>
      <c r="J84" s="4">
        <v>0</v>
      </c>
      <c r="K84" s="4">
        <f t="shared" si="90"/>
        <v>1508333.3333333333</v>
      </c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>
        <f t="shared" si="97"/>
        <v>4525000</v>
      </c>
      <c r="AN84" s="4">
        <f t="shared" si="98"/>
        <v>0</v>
      </c>
      <c r="AO84" s="4">
        <f t="shared" si="99"/>
        <v>4525000</v>
      </c>
      <c r="AP84" s="43">
        <f t="shared" si="100"/>
        <v>100</v>
      </c>
      <c r="AQ84" s="34"/>
      <c r="AR84" s="38"/>
      <c r="AS84" s="38"/>
      <c r="AT84" s="2"/>
      <c r="AU84" s="2"/>
    </row>
    <row r="85" spans="1:47" ht="15" customHeight="1" x14ac:dyDescent="0.25">
      <c r="A85" s="5" t="s">
        <v>38</v>
      </c>
      <c r="B85" s="4">
        <v>29568000</v>
      </c>
      <c r="C85" s="4">
        <v>2464000</v>
      </c>
      <c r="D85" s="4">
        <v>2600000</v>
      </c>
      <c r="E85" s="4">
        <f t="shared" si="72"/>
        <v>-136000</v>
      </c>
      <c r="F85" s="4">
        <v>2464000</v>
      </c>
      <c r="G85" s="4">
        <v>2600000</v>
      </c>
      <c r="H85" s="4">
        <f t="shared" si="73"/>
        <v>-136000</v>
      </c>
      <c r="I85" s="4">
        <f>+'202401anual'!E141</f>
        <v>2464000</v>
      </c>
      <c r="J85" s="4">
        <v>2600000</v>
      </c>
      <c r="K85" s="4">
        <f t="shared" si="90"/>
        <v>-136000</v>
      </c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>
        <f t="shared" si="97"/>
        <v>7392000</v>
      </c>
      <c r="AN85" s="4">
        <f t="shared" si="98"/>
        <v>7800000</v>
      </c>
      <c r="AO85" s="4">
        <f t="shared" si="99"/>
        <v>-408000</v>
      </c>
      <c r="AP85" s="43">
        <f t="shared" si="100"/>
        <v>-5.5194805194805197</v>
      </c>
      <c r="AQ85" s="34"/>
      <c r="AR85" s="38"/>
      <c r="AS85" s="38"/>
      <c r="AT85" s="2"/>
      <c r="AU85" s="2"/>
    </row>
    <row r="86" spans="1:47" ht="15" customHeight="1" x14ac:dyDescent="0.25">
      <c r="A86" s="5" t="s">
        <v>39</v>
      </c>
      <c r="B86" s="4">
        <f>+'202401anual'!B142</f>
        <v>222000000</v>
      </c>
      <c r="C86" s="4">
        <v>63728000</v>
      </c>
      <c r="D86" s="4">
        <f>3410000+41074933</f>
        <v>44484933</v>
      </c>
      <c r="E86" s="4">
        <f t="shared" si="72"/>
        <v>19243067</v>
      </c>
      <c r="F86" s="4">
        <v>63728000</v>
      </c>
      <c r="G86" s="4">
        <v>15600000</v>
      </c>
      <c r="H86" s="4">
        <f t="shared" si="73"/>
        <v>48128000</v>
      </c>
      <c r="I86" s="4">
        <f>+'202401anual'!E142</f>
        <v>9454400</v>
      </c>
      <c r="J86" s="4">
        <v>15600000</v>
      </c>
      <c r="K86" s="4">
        <f t="shared" si="90"/>
        <v>-6145600</v>
      </c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>
        <f t="shared" si="97"/>
        <v>136910400</v>
      </c>
      <c r="AN86" s="4">
        <f t="shared" si="98"/>
        <v>75684933</v>
      </c>
      <c r="AO86" s="4">
        <f t="shared" si="99"/>
        <v>61225467</v>
      </c>
      <c r="AP86" s="43">
        <f t="shared" si="100"/>
        <v>44.719369017985485</v>
      </c>
      <c r="AQ86" s="34"/>
      <c r="AR86" s="38"/>
      <c r="AS86" s="38"/>
      <c r="AT86" s="2"/>
      <c r="AU86" s="2"/>
    </row>
    <row r="87" spans="1:47" ht="15" customHeight="1" x14ac:dyDescent="0.25">
      <c r="A87" s="12" t="s">
        <v>188</v>
      </c>
      <c r="B87" s="8">
        <f>SUM(B52:B86)</f>
        <v>1778991416.1100512</v>
      </c>
      <c r="C87" s="8">
        <f t="shared" ref="C87:AO87" si="101">SUM(C52:C86)</f>
        <v>152504284.67583761</v>
      </c>
      <c r="D87" s="8">
        <f>SUM(D52:D86)</f>
        <v>113011108.707</v>
      </c>
      <c r="E87" s="8">
        <f t="shared" si="101"/>
        <v>39493175.968837604</v>
      </c>
      <c r="F87" s="8">
        <f>SUM(F52:F86)</f>
        <v>165458284.67583761</v>
      </c>
      <c r="G87" s="8">
        <f t="shared" si="101"/>
        <v>91823885.829999998</v>
      </c>
      <c r="H87" s="8">
        <f t="shared" si="101"/>
        <v>73634398.845837608</v>
      </c>
      <c r="I87" s="8">
        <f t="shared" si="101"/>
        <v>118428291.67583761</v>
      </c>
      <c r="J87" s="8">
        <f t="shared" si="101"/>
        <v>80767480.019999996</v>
      </c>
      <c r="K87" s="8">
        <f t="shared" si="101"/>
        <v>37660811.655837618</v>
      </c>
      <c r="L87" s="8">
        <f t="shared" si="101"/>
        <v>0</v>
      </c>
      <c r="M87" s="8">
        <f t="shared" si="101"/>
        <v>0</v>
      </c>
      <c r="N87" s="8">
        <f t="shared" si="101"/>
        <v>0</v>
      </c>
      <c r="O87" s="8">
        <f t="shared" si="101"/>
        <v>0</v>
      </c>
      <c r="P87" s="8">
        <f t="shared" si="101"/>
        <v>0</v>
      </c>
      <c r="Q87" s="8">
        <f t="shared" si="101"/>
        <v>0</v>
      </c>
      <c r="R87" s="8">
        <f t="shared" si="101"/>
        <v>0</v>
      </c>
      <c r="S87" s="8">
        <f t="shared" si="101"/>
        <v>0</v>
      </c>
      <c r="T87" s="8">
        <f t="shared" si="101"/>
        <v>0</v>
      </c>
      <c r="U87" s="8">
        <f t="shared" si="101"/>
        <v>0</v>
      </c>
      <c r="V87" s="8">
        <f t="shared" si="101"/>
        <v>0</v>
      </c>
      <c r="W87" s="8">
        <f t="shared" si="101"/>
        <v>0</v>
      </c>
      <c r="X87" s="8">
        <f t="shared" si="101"/>
        <v>0</v>
      </c>
      <c r="Y87" s="8">
        <f t="shared" si="101"/>
        <v>0</v>
      </c>
      <c r="Z87" s="8">
        <f t="shared" si="101"/>
        <v>0</v>
      </c>
      <c r="AA87" s="8">
        <f t="shared" si="101"/>
        <v>0</v>
      </c>
      <c r="AB87" s="8">
        <f t="shared" si="101"/>
        <v>0</v>
      </c>
      <c r="AC87" s="8">
        <f t="shared" si="101"/>
        <v>0</v>
      </c>
      <c r="AD87" s="8">
        <f t="shared" si="101"/>
        <v>0</v>
      </c>
      <c r="AE87" s="8">
        <f t="shared" si="101"/>
        <v>0</v>
      </c>
      <c r="AF87" s="8">
        <f t="shared" si="101"/>
        <v>0</v>
      </c>
      <c r="AG87" s="8">
        <f t="shared" si="101"/>
        <v>0</v>
      </c>
      <c r="AH87" s="8">
        <f t="shared" si="101"/>
        <v>0</v>
      </c>
      <c r="AI87" s="8">
        <f t="shared" si="101"/>
        <v>0</v>
      </c>
      <c r="AJ87" s="8">
        <f t="shared" si="101"/>
        <v>0</v>
      </c>
      <c r="AK87" s="8">
        <f t="shared" si="101"/>
        <v>0</v>
      </c>
      <c r="AL87" s="8">
        <f t="shared" si="101"/>
        <v>0</v>
      </c>
      <c r="AM87" s="8">
        <f t="shared" si="101"/>
        <v>436390861.02751279</v>
      </c>
      <c r="AN87" s="8">
        <f t="shared" si="101"/>
        <v>285602474.55700004</v>
      </c>
      <c r="AO87" s="8">
        <f t="shared" si="101"/>
        <v>150788386.47051281</v>
      </c>
      <c r="AP87" s="31">
        <f>+AO87/AM87</f>
        <v>0.34553516110642418</v>
      </c>
      <c r="AQ87" s="34"/>
      <c r="AR87" s="38"/>
      <c r="AS87" s="38"/>
      <c r="AT87" s="2"/>
      <c r="AU87" s="2"/>
    </row>
    <row r="88" spans="1:47" ht="15" hidden="1" customHeight="1" x14ac:dyDescent="0.25">
      <c r="A88" s="5"/>
      <c r="B88" s="76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>
        <f t="shared" si="97"/>
        <v>0</v>
      </c>
      <c r="AN88" s="4"/>
      <c r="AO88" s="4"/>
      <c r="AP88" s="43"/>
      <c r="AQ88" s="34"/>
      <c r="AR88" s="38"/>
      <c r="AS88" s="38"/>
      <c r="AT88" s="2"/>
      <c r="AU88" s="2"/>
    </row>
    <row r="89" spans="1:47" x14ac:dyDescent="0.25">
      <c r="A89" s="5" t="str">
        <f>+'202401anual'!A122</f>
        <v>Reforestacion</v>
      </c>
      <c r="B89" s="4">
        <v>30000000</v>
      </c>
      <c r="C89" s="4">
        <v>0</v>
      </c>
      <c r="D89" s="4">
        <v>0</v>
      </c>
      <c r="E89" s="4">
        <f t="shared" si="72"/>
        <v>0</v>
      </c>
      <c r="F89" s="4">
        <v>0</v>
      </c>
      <c r="G89" s="4">
        <v>0</v>
      </c>
      <c r="H89" s="4">
        <f t="shared" si="73"/>
        <v>0</v>
      </c>
      <c r="I89" s="4">
        <v>0</v>
      </c>
      <c r="J89" s="4">
        <v>0</v>
      </c>
      <c r="K89" s="4">
        <f t="shared" si="90"/>
        <v>0</v>
      </c>
      <c r="L89" s="4"/>
      <c r="M89" s="4">
        <v>0</v>
      </c>
      <c r="N89" s="4">
        <f t="shared" si="91"/>
        <v>0</v>
      </c>
      <c r="O89" s="4">
        <f>+'202401anual'!G111</f>
        <v>0</v>
      </c>
      <c r="P89" s="4">
        <v>0</v>
      </c>
      <c r="Q89" s="4">
        <f t="shared" si="92"/>
        <v>0</v>
      </c>
      <c r="R89" s="4"/>
      <c r="S89" s="4">
        <v>0</v>
      </c>
      <c r="T89" s="4">
        <f t="shared" si="93"/>
        <v>0</v>
      </c>
      <c r="U89" s="4"/>
      <c r="V89" s="4"/>
      <c r="W89" s="4">
        <f t="shared" si="94"/>
        <v>0</v>
      </c>
      <c r="X89" s="4"/>
      <c r="Y89" s="4"/>
      <c r="Z89" s="4">
        <f t="shared" si="95"/>
        <v>0</v>
      </c>
      <c r="AA89" s="4">
        <f>+'202401anual'!K111</f>
        <v>0</v>
      </c>
      <c r="AB89" s="4"/>
      <c r="AC89" s="4">
        <f t="shared" si="96"/>
        <v>0</v>
      </c>
      <c r="AD89" s="4">
        <f>+'202401anual'!L111</f>
        <v>0</v>
      </c>
      <c r="AE89" s="4"/>
      <c r="AF89" s="4">
        <f t="shared" si="81"/>
        <v>0</v>
      </c>
      <c r="AG89" s="4"/>
      <c r="AH89" s="4"/>
      <c r="AI89" s="4">
        <f t="shared" si="82"/>
        <v>0</v>
      </c>
      <c r="AJ89" s="4"/>
      <c r="AK89" s="4"/>
      <c r="AL89" s="4">
        <f t="shared" si="83"/>
        <v>0</v>
      </c>
      <c r="AM89" s="4">
        <f t="shared" si="97"/>
        <v>0</v>
      </c>
      <c r="AN89" s="4">
        <f t="shared" si="98"/>
        <v>0</v>
      </c>
      <c r="AO89" s="4">
        <f t="shared" ref="AO89:AO97" si="102">+AM89-AN89</f>
        <v>0</v>
      </c>
      <c r="AP89" s="43" t="e">
        <f t="shared" si="100"/>
        <v>#DIV/0!</v>
      </c>
      <c r="AQ89" s="34">
        <f t="shared" si="16"/>
        <v>-30000000</v>
      </c>
      <c r="AR89" s="38"/>
      <c r="AS89" s="38"/>
      <c r="AT89" s="2"/>
      <c r="AU89" s="2"/>
    </row>
    <row r="90" spans="1:47" x14ac:dyDescent="0.25">
      <c r="A90" s="5" t="str">
        <f>+'202401anual'!A123</f>
        <v>CRETIB</v>
      </c>
      <c r="B90" s="4">
        <f>+'202401anual'!B123</f>
        <v>15000000</v>
      </c>
      <c r="C90" s="4">
        <v>0</v>
      </c>
      <c r="D90" s="4">
        <v>0</v>
      </c>
      <c r="E90" s="4">
        <f t="shared" si="72"/>
        <v>0</v>
      </c>
      <c r="F90" s="4">
        <v>0</v>
      </c>
      <c r="G90" s="4">
        <v>0</v>
      </c>
      <c r="H90" s="4">
        <f t="shared" si="73"/>
        <v>0</v>
      </c>
      <c r="I90" s="4">
        <v>0</v>
      </c>
      <c r="J90" s="4">
        <v>0</v>
      </c>
      <c r="K90" s="4">
        <f t="shared" si="90"/>
        <v>0</v>
      </c>
      <c r="L90" s="4"/>
      <c r="M90" s="4"/>
      <c r="N90" s="4">
        <f t="shared" si="91"/>
        <v>0</v>
      </c>
      <c r="O90" s="4">
        <f>+'202401anual'!G112</f>
        <v>0</v>
      </c>
      <c r="P90" s="4">
        <v>0</v>
      </c>
      <c r="Q90" s="4">
        <f t="shared" si="92"/>
        <v>0</v>
      </c>
      <c r="R90" s="4"/>
      <c r="S90" s="4">
        <v>0</v>
      </c>
      <c r="T90" s="4">
        <f t="shared" si="93"/>
        <v>0</v>
      </c>
      <c r="U90" s="4"/>
      <c r="V90" s="4"/>
      <c r="W90" s="4">
        <f t="shared" si="94"/>
        <v>0</v>
      </c>
      <c r="X90" s="4"/>
      <c r="Y90" s="4"/>
      <c r="Z90" s="4">
        <f t="shared" si="95"/>
        <v>0</v>
      </c>
      <c r="AA90" s="4">
        <f>+'202401anual'!K112</f>
        <v>0</v>
      </c>
      <c r="AB90" s="4"/>
      <c r="AC90" s="4">
        <f t="shared" si="96"/>
        <v>0</v>
      </c>
      <c r="AD90" s="4"/>
      <c r="AE90" s="4">
        <v>0</v>
      </c>
      <c r="AF90" s="4">
        <f t="shared" si="81"/>
        <v>0</v>
      </c>
      <c r="AG90" s="4"/>
      <c r="AH90" s="4"/>
      <c r="AI90" s="4">
        <f t="shared" si="82"/>
        <v>0</v>
      </c>
      <c r="AJ90" s="4"/>
      <c r="AK90" s="4"/>
      <c r="AL90" s="4">
        <f t="shared" si="83"/>
        <v>0</v>
      </c>
      <c r="AM90" s="4">
        <f t="shared" si="97"/>
        <v>0</v>
      </c>
      <c r="AN90" s="4">
        <f t="shared" si="98"/>
        <v>0</v>
      </c>
      <c r="AO90" s="4">
        <f t="shared" si="102"/>
        <v>0</v>
      </c>
      <c r="AP90" s="43" t="e">
        <f t="shared" si="100"/>
        <v>#DIV/0!</v>
      </c>
      <c r="AQ90" s="34">
        <f t="shared" si="16"/>
        <v>-15000000</v>
      </c>
      <c r="AR90" s="38"/>
      <c r="AS90" s="38"/>
      <c r="AT90" s="2"/>
      <c r="AU90" s="2"/>
    </row>
    <row r="91" spans="1:47" x14ac:dyDescent="0.25">
      <c r="A91" s="5" t="str">
        <f>+'202401anual'!A124</f>
        <v>Limpieza de cuencas</v>
      </c>
      <c r="B91" s="4">
        <f>+'202401anual'!B124</f>
        <v>5500000</v>
      </c>
      <c r="C91" s="4">
        <v>0</v>
      </c>
      <c r="D91" s="4">
        <v>0</v>
      </c>
      <c r="E91" s="4">
        <f t="shared" si="72"/>
        <v>0</v>
      </c>
      <c r="F91" s="4">
        <v>0</v>
      </c>
      <c r="G91" s="4">
        <v>0</v>
      </c>
      <c r="H91" s="4">
        <f t="shared" si="73"/>
        <v>0</v>
      </c>
      <c r="I91" s="4">
        <v>0</v>
      </c>
      <c r="J91" s="4">
        <v>0</v>
      </c>
      <c r="K91" s="4">
        <f t="shared" si="90"/>
        <v>0</v>
      </c>
      <c r="L91" s="4">
        <f>+'202401anual'!F113</f>
        <v>0</v>
      </c>
      <c r="M91" s="4"/>
      <c r="N91" s="4">
        <f t="shared" si="91"/>
        <v>0</v>
      </c>
      <c r="O91" s="4"/>
      <c r="P91" s="4">
        <v>0</v>
      </c>
      <c r="Q91" s="4">
        <f t="shared" si="92"/>
        <v>0</v>
      </c>
      <c r="R91" s="4"/>
      <c r="S91" s="4">
        <v>0</v>
      </c>
      <c r="T91" s="4">
        <f t="shared" si="93"/>
        <v>0</v>
      </c>
      <c r="U91" s="4"/>
      <c r="V91" s="4"/>
      <c r="W91" s="4">
        <f t="shared" si="94"/>
        <v>0</v>
      </c>
      <c r="X91" s="4"/>
      <c r="Y91" s="4"/>
      <c r="Z91" s="4">
        <f t="shared" si="95"/>
        <v>0</v>
      </c>
      <c r="AA91" s="4">
        <f>+'202401anual'!K113</f>
        <v>0</v>
      </c>
      <c r="AB91" s="4"/>
      <c r="AC91" s="4">
        <f t="shared" si="96"/>
        <v>0</v>
      </c>
      <c r="AD91" s="4"/>
      <c r="AE91" s="4"/>
      <c r="AF91" s="4">
        <f t="shared" si="81"/>
        <v>0</v>
      </c>
      <c r="AG91" s="4"/>
      <c r="AH91" s="4"/>
      <c r="AI91" s="4">
        <f t="shared" si="82"/>
        <v>0</v>
      </c>
      <c r="AJ91" s="4"/>
      <c r="AK91" s="4"/>
      <c r="AL91" s="4">
        <f t="shared" si="83"/>
        <v>0</v>
      </c>
      <c r="AM91" s="4">
        <f t="shared" si="97"/>
        <v>0</v>
      </c>
      <c r="AN91" s="4">
        <f t="shared" si="98"/>
        <v>0</v>
      </c>
      <c r="AO91" s="4">
        <f t="shared" si="102"/>
        <v>0</v>
      </c>
      <c r="AP91" s="43" t="e">
        <f t="shared" si="100"/>
        <v>#DIV/0!</v>
      </c>
      <c r="AQ91" s="34">
        <f t="shared" si="16"/>
        <v>-5500000</v>
      </c>
      <c r="AR91" s="38"/>
      <c r="AS91" s="38"/>
      <c r="AT91" s="2"/>
      <c r="AU91" s="2"/>
    </row>
    <row r="92" spans="1:47" x14ac:dyDescent="0.25">
      <c r="A92" s="5" t="str">
        <f>+'202401anual'!A125</f>
        <v>Permiso de vertimiento (alcantarillado)</v>
      </c>
      <c r="B92" s="4">
        <v>10000000</v>
      </c>
      <c r="C92" s="4">
        <v>0</v>
      </c>
      <c r="D92" s="4">
        <v>0</v>
      </c>
      <c r="E92" s="4">
        <f t="shared" si="72"/>
        <v>0</v>
      </c>
      <c r="F92" s="4">
        <v>0</v>
      </c>
      <c r="G92" s="4">
        <v>0</v>
      </c>
      <c r="H92" s="4">
        <f t="shared" si="73"/>
        <v>0</v>
      </c>
      <c r="I92" s="4">
        <v>0</v>
      </c>
      <c r="J92" s="4">
        <v>0</v>
      </c>
      <c r="K92" s="4">
        <f t="shared" si="90"/>
        <v>0</v>
      </c>
      <c r="L92" s="4"/>
      <c r="M92" s="4"/>
      <c r="N92" s="4">
        <f t="shared" si="91"/>
        <v>0</v>
      </c>
      <c r="O92" s="4"/>
      <c r="P92" s="4"/>
      <c r="Q92" s="4">
        <f t="shared" si="92"/>
        <v>0</v>
      </c>
      <c r="R92" s="4"/>
      <c r="S92" s="4"/>
      <c r="T92" s="4">
        <f t="shared" si="93"/>
        <v>0</v>
      </c>
      <c r="U92" s="4"/>
      <c r="V92" s="4"/>
      <c r="W92" s="4">
        <f t="shared" si="94"/>
        <v>0</v>
      </c>
      <c r="X92" s="4"/>
      <c r="Y92" s="4"/>
      <c r="Z92" s="4">
        <f t="shared" si="95"/>
        <v>0</v>
      </c>
      <c r="AA92" s="4"/>
      <c r="AB92" s="4"/>
      <c r="AC92" s="4">
        <f t="shared" si="96"/>
        <v>0</v>
      </c>
      <c r="AD92" s="4"/>
      <c r="AE92" s="4"/>
      <c r="AF92" s="4">
        <f t="shared" si="81"/>
        <v>0</v>
      </c>
      <c r="AG92" s="4"/>
      <c r="AH92" s="4"/>
      <c r="AI92" s="4">
        <f t="shared" si="82"/>
        <v>0</v>
      </c>
      <c r="AJ92" s="4"/>
      <c r="AK92" s="4"/>
      <c r="AL92" s="4">
        <f t="shared" si="83"/>
        <v>0</v>
      </c>
      <c r="AM92" s="4">
        <f t="shared" si="97"/>
        <v>0</v>
      </c>
      <c r="AN92" s="4">
        <f t="shared" si="98"/>
        <v>0</v>
      </c>
      <c r="AO92" s="4">
        <f t="shared" si="102"/>
        <v>0</v>
      </c>
      <c r="AP92" s="43" t="e">
        <f t="shared" si="100"/>
        <v>#DIV/0!</v>
      </c>
      <c r="AQ92" s="34">
        <f t="shared" si="16"/>
        <v>-10000000</v>
      </c>
      <c r="AR92" s="38"/>
      <c r="AS92" s="38"/>
      <c r="AT92" s="2"/>
      <c r="AU92" s="2"/>
    </row>
    <row r="93" spans="1:47" x14ac:dyDescent="0.25">
      <c r="A93" s="5" t="str">
        <f>+'202401anual'!A126</f>
        <v>Permiso de concesión de agua</v>
      </c>
      <c r="B93" s="4">
        <v>10000000</v>
      </c>
      <c r="C93" s="4">
        <v>0</v>
      </c>
      <c r="D93" s="4">
        <v>0</v>
      </c>
      <c r="E93" s="4">
        <f t="shared" si="72"/>
        <v>0</v>
      </c>
      <c r="F93" s="4">
        <v>0</v>
      </c>
      <c r="G93" s="4">
        <v>0</v>
      </c>
      <c r="H93" s="4">
        <f t="shared" si="73"/>
        <v>0</v>
      </c>
      <c r="I93" s="4">
        <v>0</v>
      </c>
      <c r="J93" s="4">
        <v>0</v>
      </c>
      <c r="K93" s="4">
        <f t="shared" si="90"/>
        <v>0</v>
      </c>
      <c r="L93" s="4"/>
      <c r="M93" s="4"/>
      <c r="N93" s="4">
        <f t="shared" si="91"/>
        <v>0</v>
      </c>
      <c r="O93" s="4"/>
      <c r="P93" s="4">
        <v>0</v>
      </c>
      <c r="Q93" s="4">
        <f t="shared" si="92"/>
        <v>0</v>
      </c>
      <c r="R93" s="4"/>
      <c r="S93" s="4"/>
      <c r="T93" s="4">
        <f t="shared" si="93"/>
        <v>0</v>
      </c>
      <c r="U93" s="4"/>
      <c r="V93" s="4"/>
      <c r="W93" s="4">
        <f t="shared" si="94"/>
        <v>0</v>
      </c>
      <c r="X93" s="4"/>
      <c r="Y93" s="4"/>
      <c r="Z93" s="4">
        <f t="shared" si="95"/>
        <v>0</v>
      </c>
      <c r="AA93" s="4"/>
      <c r="AB93" s="4"/>
      <c r="AC93" s="4">
        <f t="shared" si="96"/>
        <v>0</v>
      </c>
      <c r="AD93" s="4"/>
      <c r="AE93" s="4"/>
      <c r="AF93" s="4">
        <f t="shared" si="81"/>
        <v>0</v>
      </c>
      <c r="AG93" s="4"/>
      <c r="AH93" s="4"/>
      <c r="AI93" s="4">
        <f t="shared" si="82"/>
        <v>0</v>
      </c>
      <c r="AJ93" s="4"/>
      <c r="AK93" s="4"/>
      <c r="AL93" s="4">
        <f t="shared" si="83"/>
        <v>0</v>
      </c>
      <c r="AM93" s="4">
        <f t="shared" si="97"/>
        <v>0</v>
      </c>
      <c r="AN93" s="4">
        <f t="shared" si="98"/>
        <v>0</v>
      </c>
      <c r="AO93" s="4">
        <f t="shared" si="102"/>
        <v>0</v>
      </c>
      <c r="AP93" s="43" t="e">
        <f t="shared" si="100"/>
        <v>#DIV/0!</v>
      </c>
      <c r="AQ93" s="34">
        <f t="shared" si="16"/>
        <v>-10000000</v>
      </c>
      <c r="AR93" s="38"/>
      <c r="AS93" s="38"/>
      <c r="AT93" s="2"/>
      <c r="AU93" s="2"/>
    </row>
    <row r="94" spans="1:47" x14ac:dyDescent="0.25">
      <c r="A94" s="5" t="str">
        <f>+'202401anual'!A127</f>
        <v>Vertimiento Acueducto, Tasa Retributiva</v>
      </c>
      <c r="B94" s="4">
        <v>10000000</v>
      </c>
      <c r="C94" s="4">
        <v>0</v>
      </c>
      <c r="D94" s="4">
        <v>0</v>
      </c>
      <c r="E94" s="4">
        <f t="shared" si="72"/>
        <v>0</v>
      </c>
      <c r="F94" s="4">
        <v>0</v>
      </c>
      <c r="G94" s="4">
        <v>0</v>
      </c>
      <c r="H94" s="4">
        <f t="shared" si="73"/>
        <v>0</v>
      </c>
      <c r="I94" s="4">
        <v>0</v>
      </c>
      <c r="J94" s="4">
        <v>0</v>
      </c>
      <c r="K94" s="4">
        <f t="shared" si="90"/>
        <v>0</v>
      </c>
      <c r="L94" s="4"/>
      <c r="M94" s="4"/>
      <c r="N94" s="4">
        <f t="shared" si="91"/>
        <v>0</v>
      </c>
      <c r="O94" s="4"/>
      <c r="P94" s="4">
        <v>0</v>
      </c>
      <c r="Q94" s="4">
        <f t="shared" si="92"/>
        <v>0</v>
      </c>
      <c r="R94" s="4"/>
      <c r="S94" s="4"/>
      <c r="T94" s="4">
        <f t="shared" si="93"/>
        <v>0</v>
      </c>
      <c r="U94" s="4"/>
      <c r="V94" s="4"/>
      <c r="W94" s="4">
        <f t="shared" si="94"/>
        <v>0</v>
      </c>
      <c r="X94" s="4"/>
      <c r="Y94" s="4"/>
      <c r="Z94" s="4">
        <f t="shared" si="95"/>
        <v>0</v>
      </c>
      <c r="AA94" s="4"/>
      <c r="AB94" s="4"/>
      <c r="AC94" s="4">
        <f t="shared" si="96"/>
        <v>0</v>
      </c>
      <c r="AD94" s="4"/>
      <c r="AE94" s="4"/>
      <c r="AF94" s="4">
        <f t="shared" si="81"/>
        <v>0</v>
      </c>
      <c r="AG94" s="4"/>
      <c r="AH94" s="4"/>
      <c r="AI94" s="4">
        <f t="shared" si="82"/>
        <v>0</v>
      </c>
      <c r="AJ94" s="4"/>
      <c r="AK94" s="4"/>
      <c r="AL94" s="4">
        <f t="shared" si="83"/>
        <v>0</v>
      </c>
      <c r="AM94" s="4">
        <f t="shared" si="97"/>
        <v>0</v>
      </c>
      <c r="AN94" s="4">
        <f t="shared" si="98"/>
        <v>0</v>
      </c>
      <c r="AO94" s="4">
        <f t="shared" si="102"/>
        <v>0</v>
      </c>
      <c r="AP94" s="43" t="e">
        <f t="shared" si="100"/>
        <v>#DIV/0!</v>
      </c>
      <c r="AQ94" s="34">
        <f t="shared" si="16"/>
        <v>-10000000</v>
      </c>
      <c r="AR94" s="38"/>
      <c r="AS94" s="38"/>
      <c r="AT94" s="2"/>
      <c r="AU94" s="2"/>
    </row>
    <row r="95" spans="1:47" x14ac:dyDescent="0.25">
      <c r="A95" s="5" t="str">
        <f>+'202401anual'!A128</f>
        <v>Vertimientos Alcantarillado, Tasa retributivas</v>
      </c>
      <c r="B95" s="4">
        <v>20000000</v>
      </c>
      <c r="C95" s="4">
        <v>0</v>
      </c>
      <c r="D95" s="4">
        <v>0</v>
      </c>
      <c r="E95" s="4">
        <f t="shared" si="72"/>
        <v>0</v>
      </c>
      <c r="F95" s="4">
        <v>0</v>
      </c>
      <c r="G95" s="4">
        <v>0</v>
      </c>
      <c r="H95" s="4">
        <f t="shared" si="73"/>
        <v>0</v>
      </c>
      <c r="I95" s="4">
        <v>0</v>
      </c>
      <c r="J95" s="4">
        <v>0</v>
      </c>
      <c r="K95" s="4">
        <f t="shared" si="90"/>
        <v>0</v>
      </c>
      <c r="L95" s="4"/>
      <c r="M95" s="4">
        <v>0</v>
      </c>
      <c r="N95" s="4">
        <f t="shared" si="91"/>
        <v>0</v>
      </c>
      <c r="O95" s="4"/>
      <c r="P95" s="4">
        <v>0</v>
      </c>
      <c r="Q95" s="4">
        <f t="shared" si="92"/>
        <v>0</v>
      </c>
      <c r="R95" s="4"/>
      <c r="S95" s="4"/>
      <c r="T95" s="4">
        <f t="shared" si="93"/>
        <v>0</v>
      </c>
      <c r="U95" s="4"/>
      <c r="V95" s="4"/>
      <c r="W95" s="4">
        <f t="shared" si="94"/>
        <v>0</v>
      </c>
      <c r="X95" s="4"/>
      <c r="Y95" s="4"/>
      <c r="Z95" s="4">
        <f t="shared" si="95"/>
        <v>0</v>
      </c>
      <c r="AA95" s="4"/>
      <c r="AB95" s="4"/>
      <c r="AC95" s="4">
        <f t="shared" si="96"/>
        <v>0</v>
      </c>
      <c r="AD95" s="4"/>
      <c r="AE95" s="4"/>
      <c r="AF95" s="4">
        <f t="shared" si="81"/>
        <v>0</v>
      </c>
      <c r="AG95" s="4"/>
      <c r="AH95" s="4"/>
      <c r="AI95" s="4">
        <f t="shared" si="82"/>
        <v>0</v>
      </c>
      <c r="AJ95" s="4"/>
      <c r="AK95" s="4"/>
      <c r="AL95" s="4">
        <f t="shared" si="83"/>
        <v>0</v>
      </c>
      <c r="AM95" s="4">
        <f t="shared" si="97"/>
        <v>0</v>
      </c>
      <c r="AN95" s="4">
        <f t="shared" si="98"/>
        <v>0</v>
      </c>
      <c r="AO95" s="4">
        <f t="shared" si="102"/>
        <v>0</v>
      </c>
      <c r="AP95" s="43" t="e">
        <f t="shared" si="100"/>
        <v>#DIV/0!</v>
      </c>
      <c r="AQ95" s="34">
        <f t="shared" si="16"/>
        <v>-20000000</v>
      </c>
      <c r="AR95" s="38"/>
      <c r="AS95" s="38"/>
      <c r="AT95" s="2"/>
      <c r="AU95" s="2"/>
    </row>
    <row r="96" spans="1:47" x14ac:dyDescent="0.25">
      <c r="A96" s="5" t="str">
        <f>+'202401anual'!A129</f>
        <v>Sanción Coralina ( Vertimiento Santa Catalina) y ( Relleno Sanitario)</v>
      </c>
      <c r="B96" s="4">
        <v>1500000000</v>
      </c>
      <c r="C96" s="4">
        <v>0</v>
      </c>
      <c r="D96" s="4">
        <v>0</v>
      </c>
      <c r="E96" s="4">
        <f t="shared" si="72"/>
        <v>0</v>
      </c>
      <c r="F96" s="4">
        <v>0</v>
      </c>
      <c r="G96" s="4">
        <v>0</v>
      </c>
      <c r="H96" s="4">
        <f t="shared" si="73"/>
        <v>0</v>
      </c>
      <c r="I96" s="4">
        <v>0</v>
      </c>
      <c r="J96" s="4">
        <v>0</v>
      </c>
      <c r="K96" s="4">
        <f t="shared" si="90"/>
        <v>0</v>
      </c>
      <c r="L96" s="4"/>
      <c r="M96" s="4">
        <v>0</v>
      </c>
      <c r="N96" s="4">
        <f t="shared" si="91"/>
        <v>0</v>
      </c>
      <c r="O96" s="4">
        <f>+'202401anual'!G119</f>
        <v>0</v>
      </c>
      <c r="P96" s="4">
        <v>0</v>
      </c>
      <c r="Q96" s="4">
        <f t="shared" si="92"/>
        <v>0</v>
      </c>
      <c r="R96" s="4">
        <f>+'202401anual'!H119</f>
        <v>0</v>
      </c>
      <c r="S96" s="4">
        <v>0</v>
      </c>
      <c r="T96" s="4">
        <f t="shared" si="93"/>
        <v>0</v>
      </c>
      <c r="U96" s="4"/>
      <c r="V96" s="4"/>
      <c r="W96" s="4">
        <f t="shared" si="94"/>
        <v>0</v>
      </c>
      <c r="X96" s="4"/>
      <c r="Y96" s="4"/>
      <c r="Z96" s="4">
        <f t="shared" si="95"/>
        <v>0</v>
      </c>
      <c r="AA96" s="4"/>
      <c r="AB96" s="4"/>
      <c r="AC96" s="4">
        <f t="shared" si="96"/>
        <v>0</v>
      </c>
      <c r="AD96" s="4"/>
      <c r="AE96" s="4"/>
      <c r="AF96" s="4">
        <f t="shared" si="81"/>
        <v>0</v>
      </c>
      <c r="AG96" s="4"/>
      <c r="AH96" s="4"/>
      <c r="AI96" s="4">
        <f t="shared" si="82"/>
        <v>0</v>
      </c>
      <c r="AJ96" s="4"/>
      <c r="AK96" s="4"/>
      <c r="AL96" s="4">
        <f t="shared" si="83"/>
        <v>0</v>
      </c>
      <c r="AM96" s="4">
        <f t="shared" si="97"/>
        <v>0</v>
      </c>
      <c r="AN96" s="4">
        <f t="shared" si="98"/>
        <v>0</v>
      </c>
      <c r="AO96" s="4">
        <f t="shared" si="102"/>
        <v>0</v>
      </c>
      <c r="AP96" s="43" t="e">
        <f t="shared" si="100"/>
        <v>#DIV/0!</v>
      </c>
      <c r="AQ96" s="34">
        <f t="shared" ref="AQ96:AQ101" si="103">+AM96-B96</f>
        <v>-1500000000</v>
      </c>
      <c r="AR96" s="38"/>
      <c r="AS96" s="38"/>
      <c r="AT96" s="2"/>
      <c r="AU96" s="2"/>
    </row>
    <row r="97" spans="1:55" x14ac:dyDescent="0.25">
      <c r="A97" s="5" t="str">
        <f>+'202401anual'!A130</f>
        <v>Análisis emisión de gases, sitio de disposición final residuos sólidos</v>
      </c>
      <c r="B97" s="4">
        <v>9000000</v>
      </c>
      <c r="C97" s="4">
        <v>0</v>
      </c>
      <c r="D97" s="4">
        <v>0</v>
      </c>
      <c r="E97" s="4">
        <f t="shared" si="72"/>
        <v>0</v>
      </c>
      <c r="F97" s="90">
        <v>6000000</v>
      </c>
      <c r="G97" s="4">
        <v>0</v>
      </c>
      <c r="H97" s="4">
        <f t="shared" si="73"/>
        <v>6000000</v>
      </c>
      <c r="I97" s="4">
        <v>0</v>
      </c>
      <c r="J97" s="4">
        <v>0</v>
      </c>
      <c r="K97" s="4">
        <f t="shared" si="90"/>
        <v>0</v>
      </c>
      <c r="L97" s="4"/>
      <c r="M97" s="4"/>
      <c r="N97" s="4">
        <f t="shared" si="91"/>
        <v>0</v>
      </c>
      <c r="O97" s="4"/>
      <c r="P97" s="4"/>
      <c r="Q97" s="4">
        <f t="shared" si="92"/>
        <v>0</v>
      </c>
      <c r="R97" s="4"/>
      <c r="S97" s="4"/>
      <c r="T97" s="4">
        <f t="shared" si="93"/>
        <v>0</v>
      </c>
      <c r="U97" s="4"/>
      <c r="V97" s="4"/>
      <c r="W97" s="4">
        <f t="shared" si="94"/>
        <v>0</v>
      </c>
      <c r="X97" s="4"/>
      <c r="Y97" s="4"/>
      <c r="Z97" s="4">
        <f t="shared" si="95"/>
        <v>0</v>
      </c>
      <c r="AA97" s="4"/>
      <c r="AB97" s="4"/>
      <c r="AC97" s="4">
        <f t="shared" si="96"/>
        <v>0</v>
      </c>
      <c r="AD97" s="4"/>
      <c r="AE97" s="4"/>
      <c r="AF97" s="4">
        <f t="shared" si="81"/>
        <v>0</v>
      </c>
      <c r="AG97" s="4"/>
      <c r="AH97" s="4"/>
      <c r="AI97" s="4">
        <f t="shared" si="82"/>
        <v>0</v>
      </c>
      <c r="AJ97" s="4"/>
      <c r="AK97" s="4"/>
      <c r="AL97" s="4">
        <f t="shared" si="83"/>
        <v>0</v>
      </c>
      <c r="AM97" s="4">
        <f t="shared" si="97"/>
        <v>6000000</v>
      </c>
      <c r="AN97" s="4">
        <f t="shared" si="98"/>
        <v>0</v>
      </c>
      <c r="AO97" s="4">
        <f t="shared" si="102"/>
        <v>6000000</v>
      </c>
      <c r="AP97" s="43">
        <f t="shared" si="100"/>
        <v>100</v>
      </c>
      <c r="AQ97" s="34">
        <f t="shared" si="103"/>
        <v>-3000000</v>
      </c>
      <c r="AR97" s="38"/>
      <c r="AS97" s="38"/>
      <c r="AT97" s="2"/>
      <c r="AU97" s="2"/>
    </row>
    <row r="98" spans="1:55" x14ac:dyDescent="0.25">
      <c r="A98" s="12" t="s">
        <v>189</v>
      </c>
      <c r="B98" s="8">
        <f>SUM(B89:B97)</f>
        <v>1609500000</v>
      </c>
      <c r="C98" s="8">
        <f>SUM(C89:C97)</f>
        <v>0</v>
      </c>
      <c r="D98" s="8">
        <f t="shared" ref="D98:AO98" si="104">SUM(D89:D97)</f>
        <v>0</v>
      </c>
      <c r="E98" s="8">
        <f t="shared" si="104"/>
        <v>0</v>
      </c>
      <c r="F98" s="8">
        <f>SUM(F89:F97)</f>
        <v>6000000</v>
      </c>
      <c r="G98" s="8">
        <f t="shared" si="104"/>
        <v>0</v>
      </c>
      <c r="H98" s="8">
        <f t="shared" si="104"/>
        <v>6000000</v>
      </c>
      <c r="I98" s="8">
        <f t="shared" si="104"/>
        <v>0</v>
      </c>
      <c r="J98" s="8">
        <f t="shared" si="104"/>
        <v>0</v>
      </c>
      <c r="K98" s="8">
        <f t="shared" si="104"/>
        <v>0</v>
      </c>
      <c r="L98" s="8">
        <f t="shared" si="104"/>
        <v>0</v>
      </c>
      <c r="M98" s="8">
        <f t="shared" si="104"/>
        <v>0</v>
      </c>
      <c r="N98" s="8">
        <f t="shared" si="104"/>
        <v>0</v>
      </c>
      <c r="O98" s="8">
        <f t="shared" si="104"/>
        <v>0</v>
      </c>
      <c r="P98" s="8">
        <f t="shared" si="104"/>
        <v>0</v>
      </c>
      <c r="Q98" s="8">
        <f t="shared" si="104"/>
        <v>0</v>
      </c>
      <c r="R98" s="8">
        <f t="shared" si="104"/>
        <v>0</v>
      </c>
      <c r="S98" s="8">
        <f t="shared" si="104"/>
        <v>0</v>
      </c>
      <c r="T98" s="8">
        <f t="shared" si="104"/>
        <v>0</v>
      </c>
      <c r="U98" s="8">
        <f t="shared" si="104"/>
        <v>0</v>
      </c>
      <c r="V98" s="8">
        <f t="shared" si="104"/>
        <v>0</v>
      </c>
      <c r="W98" s="8">
        <f t="shared" si="104"/>
        <v>0</v>
      </c>
      <c r="X98" s="8">
        <f t="shared" si="104"/>
        <v>0</v>
      </c>
      <c r="Y98" s="8">
        <f t="shared" si="104"/>
        <v>0</v>
      </c>
      <c r="Z98" s="8">
        <f t="shared" si="104"/>
        <v>0</v>
      </c>
      <c r="AA98" s="8">
        <f t="shared" si="104"/>
        <v>0</v>
      </c>
      <c r="AB98" s="8">
        <f t="shared" si="104"/>
        <v>0</v>
      </c>
      <c r="AC98" s="8">
        <f t="shared" si="104"/>
        <v>0</v>
      </c>
      <c r="AD98" s="8">
        <f t="shared" si="104"/>
        <v>0</v>
      </c>
      <c r="AE98" s="8">
        <f t="shared" si="104"/>
        <v>0</v>
      </c>
      <c r="AF98" s="8">
        <f t="shared" si="104"/>
        <v>0</v>
      </c>
      <c r="AG98" s="8">
        <f t="shared" si="104"/>
        <v>0</v>
      </c>
      <c r="AH98" s="8">
        <f t="shared" si="104"/>
        <v>0</v>
      </c>
      <c r="AI98" s="8">
        <f t="shared" si="104"/>
        <v>0</v>
      </c>
      <c r="AJ98" s="8">
        <f t="shared" si="104"/>
        <v>0</v>
      </c>
      <c r="AK98" s="8">
        <f t="shared" si="104"/>
        <v>0</v>
      </c>
      <c r="AL98" s="8">
        <f t="shared" si="104"/>
        <v>0</v>
      </c>
      <c r="AM98" s="8">
        <f t="shared" si="104"/>
        <v>6000000</v>
      </c>
      <c r="AN98" s="8">
        <f t="shared" si="104"/>
        <v>0</v>
      </c>
      <c r="AO98" s="8">
        <f t="shared" si="104"/>
        <v>6000000</v>
      </c>
      <c r="AP98" s="31">
        <f>+AO98/AM98</f>
        <v>1</v>
      </c>
      <c r="AQ98" s="34"/>
      <c r="AR98" s="38"/>
      <c r="AS98" s="38"/>
      <c r="AT98" s="2"/>
      <c r="AU98" s="2"/>
    </row>
    <row r="99" spans="1:55" x14ac:dyDescent="0.25">
      <c r="A99" s="12" t="s">
        <v>190</v>
      </c>
      <c r="B99" s="8">
        <f>+B98+B87+B50</f>
        <v>4176837988.7873907</v>
      </c>
      <c r="C99" s="8">
        <f>+C98+C87+C50</f>
        <v>210216582.39894927</v>
      </c>
      <c r="D99" s="8">
        <f t="shared" ref="D99:AO99" si="105">+D98+D87+D50</f>
        <v>144799890</v>
      </c>
      <c r="E99" s="8">
        <f t="shared" si="105"/>
        <v>65416692.398949251</v>
      </c>
      <c r="F99" s="8">
        <f>+F98+F87+F50</f>
        <v>229170582.39894927</v>
      </c>
      <c r="G99" s="8">
        <f t="shared" si="105"/>
        <v>147807852.82999998</v>
      </c>
      <c r="H99" s="8">
        <f t="shared" si="105"/>
        <v>81362729.568949252</v>
      </c>
      <c r="I99" s="8">
        <f t="shared" si="105"/>
        <v>149510589.39894927</v>
      </c>
      <c r="J99" s="8">
        <f t="shared" si="105"/>
        <v>108288270.02</v>
      </c>
      <c r="K99" s="8">
        <f t="shared" si="105"/>
        <v>41222319.378949262</v>
      </c>
      <c r="L99" s="8">
        <f t="shared" si="105"/>
        <v>0</v>
      </c>
      <c r="M99" s="8">
        <f t="shared" si="105"/>
        <v>0</v>
      </c>
      <c r="N99" s="8">
        <f t="shared" si="105"/>
        <v>0</v>
      </c>
      <c r="O99" s="8">
        <f t="shared" si="105"/>
        <v>0</v>
      </c>
      <c r="P99" s="8">
        <f t="shared" si="105"/>
        <v>0</v>
      </c>
      <c r="Q99" s="8">
        <f t="shared" si="105"/>
        <v>0</v>
      </c>
      <c r="R99" s="8">
        <f t="shared" si="105"/>
        <v>0</v>
      </c>
      <c r="S99" s="8">
        <f t="shared" si="105"/>
        <v>0</v>
      </c>
      <c r="T99" s="8">
        <f t="shared" si="105"/>
        <v>0</v>
      </c>
      <c r="U99" s="8">
        <f t="shared" si="105"/>
        <v>0</v>
      </c>
      <c r="V99" s="8">
        <f t="shared" si="105"/>
        <v>0</v>
      </c>
      <c r="W99" s="8">
        <f t="shared" si="105"/>
        <v>0</v>
      </c>
      <c r="X99" s="8">
        <f t="shared" si="105"/>
        <v>0</v>
      </c>
      <c r="Y99" s="8">
        <f t="shared" si="105"/>
        <v>0</v>
      </c>
      <c r="Z99" s="8">
        <f t="shared" si="105"/>
        <v>0</v>
      </c>
      <c r="AA99" s="8">
        <f t="shared" si="105"/>
        <v>0</v>
      </c>
      <c r="AB99" s="8">
        <f t="shared" si="105"/>
        <v>0</v>
      </c>
      <c r="AC99" s="8">
        <f t="shared" si="105"/>
        <v>0</v>
      </c>
      <c r="AD99" s="8">
        <f t="shared" si="105"/>
        <v>0</v>
      </c>
      <c r="AE99" s="8">
        <f t="shared" si="105"/>
        <v>0</v>
      </c>
      <c r="AF99" s="8">
        <f t="shared" si="105"/>
        <v>0</v>
      </c>
      <c r="AG99" s="8">
        <f t="shared" si="105"/>
        <v>0</v>
      </c>
      <c r="AH99" s="8">
        <f t="shared" si="105"/>
        <v>0</v>
      </c>
      <c r="AI99" s="8">
        <f t="shared" si="105"/>
        <v>0</v>
      </c>
      <c r="AJ99" s="8">
        <f t="shared" si="105"/>
        <v>0</v>
      </c>
      <c r="AK99" s="8">
        <f t="shared" si="105"/>
        <v>0</v>
      </c>
      <c r="AL99" s="8">
        <f t="shared" si="105"/>
        <v>0</v>
      </c>
      <c r="AM99" s="8">
        <f t="shared" si="105"/>
        <v>588897754.19684768</v>
      </c>
      <c r="AN99" s="8">
        <f t="shared" si="105"/>
        <v>400896012.85000002</v>
      </c>
      <c r="AO99" s="8">
        <f t="shared" si="105"/>
        <v>188001741.34684774</v>
      </c>
      <c r="AP99" s="31">
        <f>+AO99/AM99</f>
        <v>0.31924343403762651</v>
      </c>
      <c r="AQ99" s="34">
        <f t="shared" si="103"/>
        <v>-3587940234.5905428</v>
      </c>
      <c r="AR99" s="50" t="e">
        <f>AI99/AG99*100</f>
        <v>#DIV/0!</v>
      </c>
      <c r="AS99" s="39"/>
      <c r="AT99" s="51">
        <f>+K99/I99*100</f>
        <v>27.571504830974174</v>
      </c>
      <c r="AU99" s="2"/>
      <c r="AW99" s="2"/>
    </row>
    <row r="100" spans="1:55" s="1" customFormat="1" x14ac:dyDescent="0.25">
      <c r="A100" s="12" t="s">
        <v>62</v>
      </c>
      <c r="B100" s="96">
        <f>+B99+B36+B28</f>
        <v>9939582392.7940598</v>
      </c>
      <c r="C100" s="15">
        <f>+C99+C36+C28</f>
        <v>594304604.70405233</v>
      </c>
      <c r="D100" s="15">
        <f t="shared" ref="D100:AO100" si="106">+D99+D36+D28</f>
        <v>339307498</v>
      </c>
      <c r="E100" s="15">
        <f t="shared" si="106"/>
        <v>254997106.70405236</v>
      </c>
      <c r="F100" s="15">
        <f>+F99+F36+F28</f>
        <v>689168746.70405233</v>
      </c>
      <c r="G100" s="15">
        <f t="shared" si="106"/>
        <v>347820769.82999998</v>
      </c>
      <c r="H100" s="15">
        <f t="shared" si="106"/>
        <v>341347976.87405235</v>
      </c>
      <c r="I100" s="15">
        <f t="shared" si="106"/>
        <v>365417404.82305241</v>
      </c>
      <c r="J100" s="15">
        <f t="shared" si="106"/>
        <v>311281642.25</v>
      </c>
      <c r="K100" s="15">
        <f t="shared" si="106"/>
        <v>54135762.573052362</v>
      </c>
      <c r="L100" s="15">
        <f t="shared" si="106"/>
        <v>0</v>
      </c>
      <c r="M100" s="15">
        <f t="shared" si="106"/>
        <v>0</v>
      </c>
      <c r="N100" s="15">
        <f t="shared" si="106"/>
        <v>0</v>
      </c>
      <c r="O100" s="15">
        <f t="shared" si="106"/>
        <v>0</v>
      </c>
      <c r="P100" s="15">
        <f t="shared" si="106"/>
        <v>0</v>
      </c>
      <c r="Q100" s="15">
        <f t="shared" si="106"/>
        <v>0</v>
      </c>
      <c r="R100" s="15">
        <f t="shared" si="106"/>
        <v>0</v>
      </c>
      <c r="S100" s="15">
        <f t="shared" si="106"/>
        <v>0</v>
      </c>
      <c r="T100" s="15">
        <f t="shared" si="106"/>
        <v>0</v>
      </c>
      <c r="U100" s="15">
        <f t="shared" si="106"/>
        <v>0</v>
      </c>
      <c r="V100" s="15">
        <f t="shared" si="106"/>
        <v>0</v>
      </c>
      <c r="W100" s="15">
        <f t="shared" si="106"/>
        <v>0</v>
      </c>
      <c r="X100" s="15">
        <f t="shared" si="106"/>
        <v>0</v>
      </c>
      <c r="Y100" s="15">
        <f t="shared" si="106"/>
        <v>0</v>
      </c>
      <c r="Z100" s="15">
        <f t="shared" si="106"/>
        <v>0</v>
      </c>
      <c r="AA100" s="15">
        <f t="shared" si="106"/>
        <v>0</v>
      </c>
      <c r="AB100" s="15">
        <f t="shared" si="106"/>
        <v>0</v>
      </c>
      <c r="AC100" s="15">
        <f t="shared" si="106"/>
        <v>0</v>
      </c>
      <c r="AD100" s="15">
        <f t="shared" si="106"/>
        <v>0</v>
      </c>
      <c r="AE100" s="15">
        <f t="shared" si="106"/>
        <v>0</v>
      </c>
      <c r="AF100" s="15">
        <f t="shared" si="106"/>
        <v>0</v>
      </c>
      <c r="AG100" s="15">
        <f t="shared" si="106"/>
        <v>0</v>
      </c>
      <c r="AH100" s="15">
        <f t="shared" si="106"/>
        <v>0</v>
      </c>
      <c r="AI100" s="15">
        <f t="shared" si="106"/>
        <v>0</v>
      </c>
      <c r="AJ100" s="15">
        <f t="shared" si="106"/>
        <v>0</v>
      </c>
      <c r="AK100" s="15">
        <f t="shared" si="106"/>
        <v>0</v>
      </c>
      <c r="AL100" s="15">
        <f t="shared" si="106"/>
        <v>0</v>
      </c>
      <c r="AM100" s="15">
        <f t="shared" si="106"/>
        <v>1648890756.2311571</v>
      </c>
      <c r="AN100" s="15">
        <f t="shared" si="106"/>
        <v>998409910.08000004</v>
      </c>
      <c r="AO100" s="15">
        <f t="shared" si="106"/>
        <v>650480846.15115702</v>
      </c>
      <c r="AP100" s="31">
        <f>+AO100/AM100</f>
        <v>0.39449602327685468</v>
      </c>
      <c r="AQ100" s="34">
        <f t="shared" si="103"/>
        <v>-8290691636.5629025</v>
      </c>
      <c r="AR100" s="50" t="e">
        <f>AI100/AG100*100</f>
        <v>#DIV/0!</v>
      </c>
      <c r="AS100" s="53">
        <f>+AN100/AM100</f>
        <v>0.60550397672314538</v>
      </c>
      <c r="AT100" s="51">
        <f>+K100/I100*100</f>
        <v>14.814773970404268</v>
      </c>
      <c r="AU100" s="2"/>
      <c r="BA100" s="85">
        <f>+AP100-1</f>
        <v>-0.60550397672314538</v>
      </c>
      <c r="BC100" s="55"/>
    </row>
    <row r="101" spans="1:55" ht="19.5" thickBot="1" x14ac:dyDescent="0.3">
      <c r="A101" s="13" t="s">
        <v>0</v>
      </c>
      <c r="B101" s="9">
        <f>+B16-B100</f>
        <v>2.460479736328125E-4</v>
      </c>
      <c r="C101" s="9">
        <f>+C16-C100</f>
        <v>-418782888.01425302</v>
      </c>
      <c r="D101" s="9">
        <f t="shared" ref="D101:AO101" si="107">+D16-D100</f>
        <v>-191301406.81999999</v>
      </c>
      <c r="E101" s="9">
        <f t="shared" si="107"/>
        <v>-227481481.19425303</v>
      </c>
      <c r="F101" s="9">
        <f t="shared" si="107"/>
        <v>-507158459.13425303</v>
      </c>
      <c r="G101" s="9">
        <f t="shared" si="107"/>
        <v>-223242670.89999998</v>
      </c>
      <c r="H101" s="9">
        <f t="shared" si="107"/>
        <v>-269429074.14425296</v>
      </c>
      <c r="I101" s="9">
        <f t="shared" si="107"/>
        <v>2323081453.6267471</v>
      </c>
      <c r="J101" s="9">
        <f t="shared" si="107"/>
        <v>-188769556.61000001</v>
      </c>
      <c r="K101" s="9">
        <f t="shared" si="107"/>
        <v>2511851010.2367468</v>
      </c>
      <c r="L101" s="9">
        <f t="shared" si="107"/>
        <v>0</v>
      </c>
      <c r="M101" s="9">
        <f t="shared" si="107"/>
        <v>0</v>
      </c>
      <c r="N101" s="9">
        <f t="shared" si="107"/>
        <v>0</v>
      </c>
      <c r="O101" s="9">
        <f t="shared" si="107"/>
        <v>0</v>
      </c>
      <c r="P101" s="9">
        <f t="shared" si="107"/>
        <v>0</v>
      </c>
      <c r="Q101" s="9">
        <f t="shared" si="107"/>
        <v>0</v>
      </c>
      <c r="R101" s="9">
        <f t="shared" si="107"/>
        <v>0</v>
      </c>
      <c r="S101" s="9">
        <f t="shared" si="107"/>
        <v>0</v>
      </c>
      <c r="T101" s="9">
        <f t="shared" si="107"/>
        <v>0</v>
      </c>
      <c r="U101" s="9">
        <f t="shared" si="107"/>
        <v>0</v>
      </c>
      <c r="V101" s="9">
        <f t="shared" si="107"/>
        <v>0</v>
      </c>
      <c r="W101" s="9">
        <f t="shared" si="107"/>
        <v>0</v>
      </c>
      <c r="X101" s="9">
        <f t="shared" si="107"/>
        <v>0</v>
      </c>
      <c r="Y101" s="9">
        <f t="shared" si="107"/>
        <v>0</v>
      </c>
      <c r="Z101" s="9">
        <f t="shared" si="107"/>
        <v>0</v>
      </c>
      <c r="AA101" s="9">
        <f t="shared" si="107"/>
        <v>0</v>
      </c>
      <c r="AB101" s="9">
        <f t="shared" si="107"/>
        <v>0</v>
      </c>
      <c r="AC101" s="9">
        <f t="shared" si="107"/>
        <v>0</v>
      </c>
      <c r="AD101" s="9">
        <f t="shared" si="107"/>
        <v>0</v>
      </c>
      <c r="AE101" s="9">
        <f t="shared" si="107"/>
        <v>0</v>
      </c>
      <c r="AF101" s="9">
        <f t="shared" si="107"/>
        <v>0</v>
      </c>
      <c r="AG101" s="9">
        <f t="shared" si="107"/>
        <v>0</v>
      </c>
      <c r="AH101" s="9">
        <f t="shared" si="107"/>
        <v>0</v>
      </c>
      <c r="AI101" s="9">
        <f t="shared" si="107"/>
        <v>0</v>
      </c>
      <c r="AJ101" s="9">
        <f t="shared" si="107"/>
        <v>0</v>
      </c>
      <c r="AK101" s="9">
        <f t="shared" si="107"/>
        <v>0</v>
      </c>
      <c r="AL101" s="9">
        <f t="shared" si="107"/>
        <v>0</v>
      </c>
      <c r="AM101" s="9">
        <f t="shared" si="107"/>
        <v>1397140106.4782412</v>
      </c>
      <c r="AN101" s="9">
        <f t="shared" si="107"/>
        <v>-603313634.32999992</v>
      </c>
      <c r="AO101" s="9">
        <f t="shared" si="107"/>
        <v>2000453740.8082414</v>
      </c>
      <c r="AP101" s="32">
        <f>+AO101/AM101</f>
        <v>1.4318204248325299</v>
      </c>
      <c r="AQ101" s="34">
        <f t="shared" si="103"/>
        <v>1397140106.4779952</v>
      </c>
      <c r="AR101" s="50" t="e">
        <f>AI101/AG101*100</f>
        <v>#DIV/0!</v>
      </c>
      <c r="AS101" s="41"/>
      <c r="AT101" s="2"/>
      <c r="AU101" s="2"/>
      <c r="BC101" s="56"/>
    </row>
    <row r="102" spans="1:55" x14ac:dyDescent="0.25">
      <c r="B102" s="2">
        <f>+B100-'202401anual'!B144</f>
        <v>0</v>
      </c>
      <c r="D102" s="2"/>
      <c r="F102" s="2"/>
      <c r="G102" s="40"/>
      <c r="H102" s="40"/>
      <c r="I102" s="2"/>
      <c r="J102" s="2"/>
      <c r="K102" s="2"/>
      <c r="R102" s="2"/>
      <c r="S102" s="2"/>
      <c r="T102" s="2"/>
      <c r="U102" s="2"/>
      <c r="V102" s="2"/>
      <c r="X102" s="2"/>
      <c r="Y102" s="2"/>
      <c r="AA102" s="2"/>
      <c r="AB102" s="2"/>
      <c r="AC102" s="2"/>
      <c r="AD102" s="2"/>
      <c r="AE102" s="2"/>
      <c r="AF102" s="2"/>
      <c r="AG102" s="2"/>
      <c r="AH102" s="2"/>
      <c r="AI102" s="2"/>
      <c r="AO102" s="24"/>
      <c r="AR102" s="51"/>
      <c r="AU102" s="2"/>
    </row>
    <row r="103" spans="1:55" x14ac:dyDescent="0.25">
      <c r="D103" s="2"/>
      <c r="F103" s="2"/>
      <c r="G103" s="40"/>
      <c r="H103" s="40"/>
      <c r="I103" s="2"/>
      <c r="J103" s="2"/>
      <c r="K103" s="2"/>
      <c r="R103" s="2"/>
      <c r="S103" s="2"/>
      <c r="T103" s="2"/>
      <c r="U103" s="2"/>
      <c r="V103" s="2"/>
      <c r="X103" s="2"/>
      <c r="Y103" s="2"/>
      <c r="AA103" s="2"/>
      <c r="AB103" s="2"/>
      <c r="AC103" s="2"/>
      <c r="AD103" s="2"/>
      <c r="AE103" s="2"/>
      <c r="AF103" s="2"/>
      <c r="AG103" s="2"/>
      <c r="AH103" s="2"/>
      <c r="AI103" s="2"/>
      <c r="AM103" s="2"/>
      <c r="AN103" s="2"/>
      <c r="AO103" s="24"/>
      <c r="AR103" s="51"/>
      <c r="AU103" s="2"/>
    </row>
    <row r="104" spans="1:55" ht="15.75" customHeight="1" x14ac:dyDescent="0.25">
      <c r="G104" s="35"/>
      <c r="H104" s="35"/>
      <c r="I104" s="2"/>
      <c r="J104" s="2"/>
      <c r="K104" s="2"/>
      <c r="P104" s="24"/>
      <c r="R104" s="2"/>
      <c r="S104" s="2"/>
      <c r="T104" s="2"/>
      <c r="U104" s="2"/>
      <c r="V104" s="2"/>
      <c r="X104" s="2"/>
      <c r="Y104" s="2"/>
      <c r="Z104" s="2"/>
      <c r="AM104" s="2">
        <f>+C100+F100+I100</f>
        <v>1648890756.2311571</v>
      </c>
      <c r="AN104" s="2">
        <f>+D100+G100+J100</f>
        <v>998409910.07999992</v>
      </c>
      <c r="AO104" s="2">
        <f>+E100+H100+K100</f>
        <v>650480846.15115714</v>
      </c>
      <c r="AR104" s="2"/>
      <c r="AU104" s="2"/>
      <c r="AV104" s="20"/>
      <c r="AX104" s="2"/>
    </row>
    <row r="105" spans="1:55" x14ac:dyDescent="0.25">
      <c r="B105" s="2"/>
      <c r="C105" s="2"/>
      <c r="I105" s="2"/>
      <c r="J105" s="2"/>
      <c r="K105" s="2"/>
      <c r="R105" s="2"/>
      <c r="S105" s="2"/>
      <c r="T105" s="2"/>
      <c r="U105" s="2"/>
      <c r="V105" s="2"/>
      <c r="X105" s="2"/>
      <c r="Y105" s="2"/>
      <c r="Z105" s="2"/>
      <c r="AM105" s="2"/>
      <c r="AN105" s="2"/>
      <c r="AO105" s="2">
        <f>+AO104-AO100</f>
        <v>0</v>
      </c>
      <c r="AQ105" s="47"/>
      <c r="AR105" s="47"/>
      <c r="AU105" s="2"/>
      <c r="AV105" s="20"/>
      <c r="AX105" s="2"/>
    </row>
    <row r="106" spans="1:55" x14ac:dyDescent="0.25">
      <c r="B106" s="2"/>
      <c r="C106" s="2"/>
      <c r="F106" s="2"/>
      <c r="I106" s="2"/>
      <c r="L106" s="2">
        <f>+L101-'202401anual'!F145</f>
        <v>296446502.49325311</v>
      </c>
      <c r="O106" s="2">
        <f>+O101-'202401anual'!G145</f>
        <v>377369689.61325312</v>
      </c>
      <c r="R106" s="2">
        <f>+R101-'202401anual'!H145</f>
        <v>372927369.97325313</v>
      </c>
      <c r="U106" s="2">
        <f>+U101-'202401anual'!I145</f>
        <v>-4611390284.8367462</v>
      </c>
      <c r="X106" s="2">
        <f>+X101-'202401anual'!J145</f>
        <v>342226627.99642217</v>
      </c>
      <c r="Y106" s="2"/>
      <c r="Z106" s="2"/>
      <c r="AA106" s="2">
        <f>+AA101-'202401anual'!K145</f>
        <v>3135207427.9964218</v>
      </c>
      <c r="AD106" s="2">
        <f>+AD101-'202401anual'!L145</f>
        <v>438900381.99642217</v>
      </c>
      <c r="AG106" s="2">
        <f>+AG101-'202401anual'!M145</f>
        <v>388911256.56742215</v>
      </c>
      <c r="AM106" s="2"/>
      <c r="AN106" s="2"/>
      <c r="AO106" s="3"/>
      <c r="AR106" s="2"/>
      <c r="AU106" s="2"/>
      <c r="AV106" s="20"/>
    </row>
    <row r="107" spans="1:55" x14ac:dyDescent="0.25">
      <c r="X107" s="2"/>
      <c r="Y107" s="2"/>
      <c r="Z107" s="2"/>
      <c r="AM107" s="2"/>
      <c r="AN107" s="2"/>
      <c r="AO107" s="2"/>
      <c r="AU107" s="2"/>
      <c r="AV107" s="20"/>
      <c r="AW107" s="2"/>
    </row>
    <row r="108" spans="1:55" x14ac:dyDescent="0.25">
      <c r="B108" s="2"/>
      <c r="X108" s="2"/>
      <c r="Y108" s="2"/>
      <c r="Z108" s="2"/>
      <c r="AM108" s="2"/>
      <c r="AN108" s="2"/>
      <c r="AO108" s="2"/>
      <c r="AU108" s="2"/>
      <c r="AV108" s="2"/>
    </row>
    <row r="109" spans="1:55" x14ac:dyDescent="0.25">
      <c r="D109" s="2"/>
      <c r="E109" s="2"/>
      <c r="F109" s="2"/>
      <c r="X109" s="2"/>
      <c r="Y109" s="2"/>
      <c r="Z109" s="2"/>
      <c r="AM109" s="2"/>
      <c r="AN109" s="2"/>
      <c r="AO109" s="3"/>
      <c r="AU109" s="2"/>
      <c r="AV109" s="2"/>
    </row>
    <row r="110" spans="1:55" x14ac:dyDescent="0.25">
      <c r="C110" s="3"/>
      <c r="D110" s="3"/>
      <c r="E110" s="42"/>
      <c r="AN110" s="2"/>
      <c r="AO110" s="24"/>
      <c r="AU110" s="2"/>
    </row>
    <row r="111" spans="1:55" x14ac:dyDescent="0.25">
      <c r="D111" s="2"/>
      <c r="AA111" t="s">
        <v>118</v>
      </c>
      <c r="AN111" s="2"/>
      <c r="AU111" s="2"/>
    </row>
    <row r="112" spans="1:55" x14ac:dyDescent="0.25">
      <c r="Y112" s="24"/>
      <c r="AA112" s="20" t="s">
        <v>119</v>
      </c>
      <c r="AB112" s="20"/>
      <c r="AC112" s="20"/>
      <c r="AD112" s="20"/>
      <c r="AE112" s="20"/>
      <c r="AF112" s="20"/>
      <c r="AM112" s="20"/>
      <c r="AU112" s="2"/>
    </row>
    <row r="113" spans="4:47" x14ac:dyDescent="0.25">
      <c r="D113" s="2"/>
      <c r="Y113" s="24"/>
      <c r="AA113" s="106" t="s">
        <v>120</v>
      </c>
      <c r="AB113" s="106"/>
      <c r="AC113" s="106"/>
      <c r="AD113" s="106"/>
      <c r="AE113" s="106"/>
      <c r="AF113" s="106"/>
      <c r="AG113" s="106"/>
      <c r="AH113" s="106"/>
      <c r="AI113" s="106"/>
      <c r="AJ113" s="106"/>
      <c r="AK113" s="54"/>
      <c r="AL113" s="54"/>
      <c r="AM113" s="20"/>
      <c r="AU113" s="2"/>
    </row>
    <row r="114" spans="4:47" x14ac:dyDescent="0.25">
      <c r="AA114" t="s">
        <v>121</v>
      </c>
      <c r="AM114" s="20"/>
      <c r="AN114" s="2"/>
      <c r="AU114" s="2"/>
    </row>
    <row r="115" spans="4:47" x14ac:dyDescent="0.25">
      <c r="AA115" t="s">
        <v>111</v>
      </c>
      <c r="AM115" s="2"/>
    </row>
    <row r="117" spans="4:47" x14ac:dyDescent="0.25">
      <c r="P117" s="2"/>
      <c r="AM117" s="2"/>
    </row>
    <row r="118" spans="4:47" x14ac:dyDescent="0.25">
      <c r="AM118" s="2"/>
    </row>
    <row r="121" spans="4:47" x14ac:dyDescent="0.25">
      <c r="AN121" s="2"/>
    </row>
    <row r="122" spans="4:47" x14ac:dyDescent="0.25">
      <c r="AN122" s="2"/>
    </row>
    <row r="126" spans="4:47" x14ac:dyDescent="0.25">
      <c r="AM126" s="24"/>
    </row>
  </sheetData>
  <autoFilter ref="A5:AP101" xr:uid="{4C861BE8-7E5D-4966-A65F-7599F5FEBCAA}"/>
  <mergeCells count="16">
    <mergeCell ref="AA113:AJ113"/>
    <mergeCell ref="X4:Z4"/>
    <mergeCell ref="A1:C1"/>
    <mergeCell ref="A3:AP3"/>
    <mergeCell ref="C4:E4"/>
    <mergeCell ref="F4:H4"/>
    <mergeCell ref="AM4:AP4"/>
    <mergeCell ref="I4:K4"/>
    <mergeCell ref="L4:N4"/>
    <mergeCell ref="O4:Q4"/>
    <mergeCell ref="R4:T4"/>
    <mergeCell ref="U4:W4"/>
    <mergeCell ref="AA4:AC4"/>
    <mergeCell ref="AD4:AF4"/>
    <mergeCell ref="AG4:AI4"/>
    <mergeCell ref="AJ4:AL4"/>
  </mergeCells>
  <pageMargins left="0.39370078740157483" right="0.39370078740157483" top="0.19685039370078741" bottom="0.39370078740157483" header="0.31496062992125984" footer="0.31496062992125984"/>
  <pageSetup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EF56F0-7CB0-4EF8-A7FC-233F8338F952}">
  <dimension ref="A1:AD101"/>
  <sheetViews>
    <sheetView showGridLines="0" zoomScale="86" zoomScaleNormal="86" workbookViewId="0">
      <pane xSplit="1" ySplit="5" topLeftCell="B83" activePane="bottomRight" state="frozen"/>
      <selection pane="topRight" activeCell="B1" sqref="B1"/>
      <selection pane="bottomLeft" activeCell="A5" sqref="A5"/>
      <selection pane="bottomRight" activeCell="P28" sqref="P28"/>
    </sheetView>
  </sheetViews>
  <sheetFormatPr baseColWidth="10" defaultColWidth="11.42578125" defaultRowHeight="15" x14ac:dyDescent="0.25"/>
  <cols>
    <col min="1" max="1" width="49.28515625" customWidth="1"/>
    <col min="2" max="2" width="17.28515625" bestFit="1" customWidth="1"/>
    <col min="3" max="3" width="15.5703125" bestFit="1" customWidth="1"/>
    <col min="4" max="5" width="15.5703125" customWidth="1"/>
    <col min="6" max="6" width="16.7109375" hidden="1" customWidth="1"/>
    <col min="7" max="10" width="16.140625" hidden="1" customWidth="1"/>
    <col min="11" max="14" width="16.7109375" hidden="1" customWidth="1"/>
    <col min="15" max="15" width="16.140625" hidden="1" customWidth="1"/>
    <col min="16" max="17" width="16.140625" customWidth="1"/>
    <col min="18" max="18" width="18.42578125" bestFit="1" customWidth="1"/>
    <col min="19" max="19" width="9.5703125" bestFit="1" customWidth="1"/>
    <col min="20" max="20" width="18.42578125" bestFit="1" customWidth="1"/>
    <col min="21" max="21" width="15.85546875" bestFit="1" customWidth="1"/>
    <col min="22" max="22" width="15.85546875" customWidth="1"/>
    <col min="23" max="23" width="15.5703125" customWidth="1"/>
    <col min="24" max="24" width="17.28515625" customWidth="1"/>
    <col min="25" max="25" width="18.42578125" customWidth="1"/>
    <col min="26" max="28" width="15.5703125" customWidth="1"/>
    <col min="29" max="30" width="14" customWidth="1"/>
    <col min="31" max="31" width="11.42578125" customWidth="1"/>
  </cols>
  <sheetData>
    <row r="1" spans="1:30" x14ac:dyDescent="0.25">
      <c r="A1" s="98" t="s">
        <v>51</v>
      </c>
      <c r="B1" s="98"/>
      <c r="C1" s="98"/>
      <c r="D1" s="14"/>
      <c r="E1" s="14"/>
    </row>
    <row r="2" spans="1:30" x14ac:dyDescent="0.25">
      <c r="A2" s="14"/>
      <c r="B2" s="14"/>
      <c r="C2" s="14"/>
      <c r="D2" s="14"/>
      <c r="E2" s="14"/>
    </row>
    <row r="3" spans="1:30" ht="15.75" thickBot="1" x14ac:dyDescent="0.3">
      <c r="A3" s="99" t="s">
        <v>64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99"/>
      <c r="S3" s="99"/>
      <c r="T3" s="23"/>
      <c r="U3" s="23"/>
      <c r="V3" s="23"/>
    </row>
    <row r="4" spans="1:30" ht="15.75" thickBot="1" x14ac:dyDescent="0.3">
      <c r="A4" s="23"/>
      <c r="B4" s="23"/>
      <c r="C4" s="100" t="s">
        <v>105</v>
      </c>
      <c r="D4" s="101"/>
      <c r="E4" s="102"/>
      <c r="F4" s="23"/>
      <c r="G4" s="23"/>
      <c r="H4" s="23"/>
      <c r="I4" s="23"/>
      <c r="J4" s="23"/>
      <c r="K4" s="23"/>
      <c r="L4" s="23"/>
      <c r="M4" s="23"/>
      <c r="N4" s="23"/>
      <c r="O4" s="23"/>
      <c r="P4" s="103" t="s">
        <v>48</v>
      </c>
      <c r="Q4" s="104"/>
      <c r="R4" s="104"/>
      <c r="S4" s="105"/>
      <c r="T4" s="23"/>
      <c r="U4" s="23"/>
      <c r="V4" s="23"/>
    </row>
    <row r="5" spans="1:30" s="19" customFormat="1" ht="30" x14ac:dyDescent="0.25">
      <c r="A5" s="16" t="s">
        <v>50</v>
      </c>
      <c r="B5" s="17" t="s">
        <v>63</v>
      </c>
      <c r="C5" s="17" t="s">
        <v>40</v>
      </c>
      <c r="D5" s="17" t="s">
        <v>99</v>
      </c>
      <c r="E5" s="17" t="s">
        <v>100</v>
      </c>
      <c r="F5" s="17" t="s">
        <v>42</v>
      </c>
      <c r="G5" s="17" t="s">
        <v>43</v>
      </c>
      <c r="H5" s="17" t="s">
        <v>44</v>
      </c>
      <c r="I5" s="17" t="s">
        <v>6</v>
      </c>
      <c r="J5" s="17" t="s">
        <v>5</v>
      </c>
      <c r="K5" s="17" t="s">
        <v>45</v>
      </c>
      <c r="L5" s="17" t="s">
        <v>46</v>
      </c>
      <c r="M5" s="17" t="s">
        <v>47</v>
      </c>
      <c r="N5" s="17" t="s">
        <v>4</v>
      </c>
      <c r="O5" s="17" t="s">
        <v>3</v>
      </c>
      <c r="P5" s="28" t="s">
        <v>102</v>
      </c>
      <c r="Q5" s="28" t="s">
        <v>103</v>
      </c>
      <c r="R5" s="28" t="s">
        <v>104</v>
      </c>
      <c r="S5" s="18" t="s">
        <v>49</v>
      </c>
      <c r="T5" s="33"/>
      <c r="U5" s="33"/>
      <c r="V5" s="33"/>
    </row>
    <row r="6" spans="1:30" x14ac:dyDescent="0.25">
      <c r="A6" s="5" t="s">
        <v>94</v>
      </c>
      <c r="B6" s="4">
        <v>116980329</v>
      </c>
      <c r="C6" s="4">
        <v>0</v>
      </c>
      <c r="D6" s="4">
        <v>0</v>
      </c>
      <c r="E6" s="4">
        <f>+C6-D6</f>
        <v>0</v>
      </c>
      <c r="F6" s="4"/>
      <c r="G6" s="4"/>
      <c r="H6" s="4"/>
      <c r="I6" s="4"/>
      <c r="J6" s="4"/>
      <c r="K6" s="4"/>
      <c r="L6" s="4"/>
      <c r="M6" s="4"/>
      <c r="N6" s="4"/>
      <c r="O6" s="4"/>
      <c r="P6" s="4">
        <f t="shared" ref="P6:R11" si="0">+C6</f>
        <v>0</v>
      </c>
      <c r="Q6" s="4">
        <f t="shared" si="0"/>
        <v>0</v>
      </c>
      <c r="R6" s="6">
        <f t="shared" si="0"/>
        <v>0</v>
      </c>
      <c r="S6" s="29">
        <v>0</v>
      </c>
      <c r="T6" s="34"/>
      <c r="U6" s="34"/>
      <c r="V6" s="34"/>
      <c r="W6" s="2"/>
      <c r="X6" s="2"/>
    </row>
    <row r="7" spans="1:30" x14ac:dyDescent="0.25">
      <c r="A7" s="5" t="s">
        <v>95</v>
      </c>
      <c r="B7" s="4">
        <v>727688079.04725444</v>
      </c>
      <c r="C7" s="4">
        <v>0</v>
      </c>
      <c r="D7" s="4">
        <v>0</v>
      </c>
      <c r="E7" s="4">
        <f t="shared" ref="E7:E22" si="1">+C7-D7</f>
        <v>0</v>
      </c>
      <c r="F7" s="4"/>
      <c r="G7" s="4"/>
      <c r="H7" s="4"/>
      <c r="I7" s="4"/>
      <c r="J7" s="4"/>
      <c r="K7" s="4"/>
      <c r="L7" s="4"/>
      <c r="M7" s="4"/>
      <c r="N7" s="4"/>
      <c r="O7" s="4"/>
      <c r="P7" s="4">
        <f t="shared" si="0"/>
        <v>0</v>
      </c>
      <c r="Q7" s="4">
        <f t="shared" si="0"/>
        <v>0</v>
      </c>
      <c r="R7" s="6">
        <f t="shared" si="0"/>
        <v>0</v>
      </c>
      <c r="S7" s="29">
        <v>0</v>
      </c>
      <c r="T7" s="34"/>
      <c r="U7" s="34"/>
      <c r="V7" s="34"/>
      <c r="W7" s="2"/>
      <c r="X7" s="2"/>
    </row>
    <row r="8" spans="1:30" x14ac:dyDescent="0.25">
      <c r="A8" s="5" t="s">
        <v>96</v>
      </c>
      <c r="B8" s="4">
        <v>1460371848</v>
      </c>
      <c r="C8" s="4">
        <v>0</v>
      </c>
      <c r="D8" s="4">
        <v>0</v>
      </c>
      <c r="E8" s="4">
        <f t="shared" si="1"/>
        <v>0</v>
      </c>
      <c r="F8" s="4"/>
      <c r="G8" s="4"/>
      <c r="H8" s="4"/>
      <c r="I8" s="4"/>
      <c r="J8" s="4"/>
      <c r="K8" s="4"/>
      <c r="L8" s="4"/>
      <c r="M8" s="4"/>
      <c r="N8" s="4"/>
      <c r="O8" s="4"/>
      <c r="P8" s="4">
        <f t="shared" si="0"/>
        <v>0</v>
      </c>
      <c r="Q8" s="4">
        <f t="shared" si="0"/>
        <v>0</v>
      </c>
      <c r="R8" s="6">
        <f t="shared" si="0"/>
        <v>0</v>
      </c>
      <c r="S8" s="29">
        <v>0</v>
      </c>
      <c r="T8" s="34"/>
      <c r="U8" s="34"/>
      <c r="V8" s="34"/>
      <c r="W8" s="2"/>
      <c r="X8" s="2"/>
    </row>
    <row r="9" spans="1:30" x14ac:dyDescent="0.25">
      <c r="A9" s="5" t="s">
        <v>97</v>
      </c>
      <c r="B9" s="4">
        <v>384000000</v>
      </c>
      <c r="C9" s="4">
        <v>32000000</v>
      </c>
      <c r="D9" s="4">
        <v>35018397.310000002</v>
      </c>
      <c r="E9" s="4">
        <f t="shared" si="1"/>
        <v>-3018397.3100000024</v>
      </c>
      <c r="F9" s="4"/>
      <c r="G9" s="4"/>
      <c r="H9" s="4"/>
      <c r="I9" s="4"/>
      <c r="J9" s="4"/>
      <c r="K9" s="4"/>
      <c r="L9" s="4"/>
      <c r="M9" s="4"/>
      <c r="N9" s="4"/>
      <c r="O9" s="4"/>
      <c r="P9" s="4">
        <f t="shared" si="0"/>
        <v>32000000</v>
      </c>
      <c r="Q9" s="4">
        <f t="shared" si="0"/>
        <v>35018397.310000002</v>
      </c>
      <c r="R9" s="6">
        <f t="shared" si="0"/>
        <v>-3018397.3100000024</v>
      </c>
      <c r="S9" s="43">
        <f>+R9/P9*100</f>
        <v>-9.432491593750008</v>
      </c>
      <c r="T9" s="34"/>
      <c r="U9" s="34"/>
      <c r="V9" s="34"/>
      <c r="W9" s="2"/>
      <c r="X9" s="2"/>
    </row>
    <row r="10" spans="1:30" x14ac:dyDescent="0.25">
      <c r="A10" s="5" t="s">
        <v>101</v>
      </c>
      <c r="B10" s="4">
        <v>0</v>
      </c>
      <c r="C10" s="4">
        <v>0</v>
      </c>
      <c r="D10" s="4">
        <v>0</v>
      </c>
      <c r="E10" s="4">
        <f t="shared" si="1"/>
        <v>0</v>
      </c>
      <c r="F10" s="4"/>
      <c r="G10" s="4"/>
      <c r="H10" s="4"/>
      <c r="I10" s="4"/>
      <c r="J10" s="4"/>
      <c r="K10" s="4"/>
      <c r="L10" s="4"/>
      <c r="M10" s="4"/>
      <c r="N10" s="4"/>
      <c r="O10" s="4"/>
      <c r="P10" s="4">
        <f t="shared" si="0"/>
        <v>0</v>
      </c>
      <c r="Q10" s="4">
        <f t="shared" si="0"/>
        <v>0</v>
      </c>
      <c r="R10" s="6">
        <f t="shared" si="0"/>
        <v>0</v>
      </c>
      <c r="S10" s="30" t="e">
        <f>+R10/P10*100</f>
        <v>#DIV/0!</v>
      </c>
      <c r="T10" s="34"/>
      <c r="U10" s="34"/>
      <c r="V10" s="34"/>
      <c r="W10" s="2"/>
      <c r="X10" s="2"/>
    </row>
    <row r="11" spans="1:30" x14ac:dyDescent="0.25">
      <c r="A11" s="26" t="s">
        <v>98</v>
      </c>
      <c r="B11" s="4">
        <v>1744961750</v>
      </c>
      <c r="C11" s="4">
        <v>348992350</v>
      </c>
      <c r="D11" s="4">
        <v>0</v>
      </c>
      <c r="E11" s="4">
        <f t="shared" si="1"/>
        <v>348992350</v>
      </c>
      <c r="F11" s="4"/>
      <c r="G11" s="4"/>
      <c r="H11" s="4"/>
      <c r="I11" s="4"/>
      <c r="J11" s="4"/>
      <c r="K11" s="4"/>
      <c r="L11" s="4"/>
      <c r="M11" s="4"/>
      <c r="N11" s="4"/>
      <c r="O11" s="4"/>
      <c r="P11" s="4">
        <f t="shared" si="0"/>
        <v>348992350</v>
      </c>
      <c r="Q11" s="4">
        <f t="shared" si="0"/>
        <v>0</v>
      </c>
      <c r="R11" s="6">
        <f t="shared" si="0"/>
        <v>348992350</v>
      </c>
      <c r="S11" s="30">
        <f>+R11/P11*100</f>
        <v>100</v>
      </c>
      <c r="T11" s="34"/>
      <c r="U11" s="34"/>
      <c r="V11" s="34"/>
      <c r="W11" s="2"/>
      <c r="X11" s="2"/>
    </row>
    <row r="12" spans="1:30" ht="18.75" x14ac:dyDescent="0.3">
      <c r="A12" s="11" t="s">
        <v>2</v>
      </c>
      <c r="B12" s="7">
        <f>SUM(B6:B11)</f>
        <v>4434002006.0472546</v>
      </c>
      <c r="C12" s="7">
        <f t="shared" ref="C12:R12" si="2">SUM(C6:C11)</f>
        <v>380992350</v>
      </c>
      <c r="D12" s="7">
        <f t="shared" si="2"/>
        <v>35018397.310000002</v>
      </c>
      <c r="E12" s="7">
        <f t="shared" si="2"/>
        <v>345973952.69</v>
      </c>
      <c r="F12" s="7">
        <f t="shared" si="2"/>
        <v>0</v>
      </c>
      <c r="G12" s="7">
        <f t="shared" si="2"/>
        <v>0</v>
      </c>
      <c r="H12" s="7">
        <f t="shared" si="2"/>
        <v>0</v>
      </c>
      <c r="I12" s="7">
        <f t="shared" si="2"/>
        <v>0</v>
      </c>
      <c r="J12" s="7">
        <f t="shared" si="2"/>
        <v>0</v>
      </c>
      <c r="K12" s="7">
        <f t="shared" si="2"/>
        <v>0</v>
      </c>
      <c r="L12" s="7">
        <f t="shared" si="2"/>
        <v>0</v>
      </c>
      <c r="M12" s="7">
        <f t="shared" si="2"/>
        <v>0</v>
      </c>
      <c r="N12" s="7">
        <f t="shared" si="2"/>
        <v>0</v>
      </c>
      <c r="O12" s="7">
        <f t="shared" si="2"/>
        <v>0</v>
      </c>
      <c r="P12" s="7">
        <f t="shared" si="2"/>
        <v>380992350</v>
      </c>
      <c r="Q12" s="7">
        <f t="shared" si="2"/>
        <v>35018397.310000002</v>
      </c>
      <c r="R12" s="7">
        <f t="shared" si="2"/>
        <v>345973952.69</v>
      </c>
      <c r="S12" s="31">
        <f t="shared" ref="S12:S20" si="3">+R12/P12</f>
        <v>0.90808635052646069</v>
      </c>
      <c r="T12" s="34"/>
      <c r="U12" s="35"/>
      <c r="V12" s="35"/>
      <c r="W12" s="2"/>
      <c r="X12" s="2"/>
    </row>
    <row r="13" spans="1:30" x14ac:dyDescent="0.25">
      <c r="A13" s="5" t="s">
        <v>36</v>
      </c>
      <c r="B13" s="4">
        <v>878588056</v>
      </c>
      <c r="C13" s="4">
        <v>73215671.330134079</v>
      </c>
      <c r="D13" s="4">
        <v>86122604.719999999</v>
      </c>
      <c r="E13" s="4">
        <f t="shared" si="1"/>
        <v>-12906933.38986592</v>
      </c>
      <c r="F13" s="4"/>
      <c r="G13" s="4"/>
      <c r="H13" s="4"/>
      <c r="I13" s="4"/>
      <c r="J13" s="4"/>
      <c r="K13" s="4"/>
      <c r="L13" s="4"/>
      <c r="M13" s="4"/>
      <c r="N13" s="4"/>
      <c r="O13" s="4"/>
      <c r="P13" s="4">
        <f t="shared" ref="P13:R19" si="4">+C13</f>
        <v>73215671.330134079</v>
      </c>
      <c r="Q13" s="4">
        <f t="shared" si="4"/>
        <v>86122604.719999999</v>
      </c>
      <c r="R13" s="6">
        <f t="shared" si="4"/>
        <v>-12906933.38986592</v>
      </c>
      <c r="S13" s="43">
        <f>+R13/P13*100</f>
        <v>-17.628648560316744</v>
      </c>
      <c r="T13" s="34"/>
      <c r="U13" s="36"/>
      <c r="V13" s="36"/>
      <c r="W13" s="2"/>
      <c r="X13" s="2"/>
    </row>
    <row r="14" spans="1:30" ht="60" x14ac:dyDescent="0.25">
      <c r="A14" s="21" t="s">
        <v>65</v>
      </c>
      <c r="B14" s="4">
        <v>21060000</v>
      </c>
      <c r="C14" s="4">
        <v>7020000</v>
      </c>
      <c r="D14" s="4">
        <v>0</v>
      </c>
      <c r="E14" s="4">
        <f t="shared" si="1"/>
        <v>7020000</v>
      </c>
      <c r="F14" s="4"/>
      <c r="G14" s="4"/>
      <c r="H14" s="4"/>
      <c r="I14" s="4"/>
      <c r="J14" s="4"/>
      <c r="K14" s="4"/>
      <c r="L14" s="4"/>
      <c r="M14" s="4"/>
      <c r="N14" s="4"/>
      <c r="O14" s="4"/>
      <c r="P14" s="4">
        <f t="shared" si="4"/>
        <v>7020000</v>
      </c>
      <c r="Q14" s="4">
        <f t="shared" si="4"/>
        <v>0</v>
      </c>
      <c r="R14" s="6">
        <f t="shared" si="4"/>
        <v>7020000</v>
      </c>
      <c r="S14" s="43">
        <f t="shared" ref="S14:S22" si="5">+R14/P14*100</f>
        <v>100</v>
      </c>
      <c r="T14" s="34"/>
      <c r="U14" s="36"/>
      <c r="V14" s="36"/>
      <c r="W14" s="2"/>
      <c r="X14" s="2"/>
    </row>
    <row r="15" spans="1:30" x14ac:dyDescent="0.25">
      <c r="A15" s="5" t="s">
        <v>9</v>
      </c>
      <c r="B15" s="4">
        <f>1981048858-52905201</f>
        <v>1928143657</v>
      </c>
      <c r="C15" s="4">
        <v>27833200</v>
      </c>
      <c r="D15" s="4">
        <v>5039883</v>
      </c>
      <c r="E15" s="4">
        <f t="shared" si="1"/>
        <v>22793317</v>
      </c>
      <c r="F15" s="4"/>
      <c r="G15" s="4"/>
      <c r="H15" s="4"/>
      <c r="I15" s="4"/>
      <c r="J15" s="4"/>
      <c r="K15" s="4"/>
      <c r="L15" s="4"/>
      <c r="M15" s="4"/>
      <c r="N15" s="4"/>
      <c r="O15" s="4"/>
      <c r="P15" s="4">
        <f t="shared" si="4"/>
        <v>27833200</v>
      </c>
      <c r="Q15" s="4">
        <f t="shared" si="4"/>
        <v>5039883</v>
      </c>
      <c r="R15" s="6">
        <f t="shared" si="4"/>
        <v>22793317</v>
      </c>
      <c r="S15" s="43">
        <f t="shared" si="5"/>
        <v>81.892549185864354</v>
      </c>
      <c r="T15" s="34"/>
      <c r="U15" s="36"/>
      <c r="V15" s="36"/>
      <c r="W15" s="2"/>
      <c r="X15" s="37"/>
      <c r="Y15" s="20"/>
      <c r="Z15" s="20"/>
      <c r="AA15" s="20"/>
      <c r="AB15" s="20"/>
      <c r="AC15" s="20"/>
      <c r="AD15" s="20"/>
    </row>
    <row r="16" spans="1:30" x14ac:dyDescent="0.25">
      <c r="A16" s="5" t="s">
        <v>8</v>
      </c>
      <c r="B16" s="4">
        <f>2106159750</f>
        <v>2106159750</v>
      </c>
      <c r="C16" s="4">
        <v>365592350</v>
      </c>
      <c r="D16" s="4">
        <v>125855</v>
      </c>
      <c r="E16" s="4">
        <f t="shared" si="1"/>
        <v>365466495</v>
      </c>
      <c r="F16" s="4"/>
      <c r="G16" s="4"/>
      <c r="H16" s="4"/>
      <c r="I16" s="4"/>
      <c r="J16" s="4"/>
      <c r="K16" s="4"/>
      <c r="L16" s="4"/>
      <c r="M16" s="4"/>
      <c r="N16" s="4"/>
      <c r="O16" s="4"/>
      <c r="P16" s="4">
        <f t="shared" si="4"/>
        <v>365592350</v>
      </c>
      <c r="Q16" s="4">
        <f t="shared" si="4"/>
        <v>125855</v>
      </c>
      <c r="R16" s="6">
        <f t="shared" si="4"/>
        <v>365466495</v>
      </c>
      <c r="S16" s="43">
        <f t="shared" si="5"/>
        <v>99.965575045539111</v>
      </c>
      <c r="T16" s="34"/>
      <c r="U16" s="36"/>
      <c r="V16" s="2"/>
      <c r="X16" s="37"/>
      <c r="Y16" s="20"/>
      <c r="Z16" s="20"/>
      <c r="AA16" s="20"/>
      <c r="AB16" s="20"/>
      <c r="AC16" s="20"/>
      <c r="AD16" s="20"/>
    </row>
    <row r="17" spans="1:30" x14ac:dyDescent="0.25">
      <c r="A17" s="5" t="s">
        <v>10</v>
      </c>
      <c r="B17" s="4">
        <f>360000000+14000000</f>
        <v>374000000</v>
      </c>
      <c r="C17" s="4">
        <v>0</v>
      </c>
      <c r="D17" s="4">
        <v>0</v>
      </c>
      <c r="E17" s="4">
        <f t="shared" si="1"/>
        <v>0</v>
      </c>
      <c r="F17" s="4"/>
      <c r="G17" s="4"/>
      <c r="H17" s="4"/>
      <c r="I17" s="4"/>
      <c r="J17" s="4"/>
      <c r="K17" s="4"/>
      <c r="L17" s="4"/>
      <c r="M17" s="4"/>
      <c r="N17" s="4"/>
      <c r="O17" s="4"/>
      <c r="P17" s="4">
        <f t="shared" si="4"/>
        <v>0</v>
      </c>
      <c r="Q17" s="4">
        <f t="shared" si="4"/>
        <v>0</v>
      </c>
      <c r="R17" s="6">
        <f t="shared" si="4"/>
        <v>0</v>
      </c>
      <c r="S17" s="43">
        <v>0</v>
      </c>
      <c r="T17" s="34"/>
      <c r="U17" s="36"/>
      <c r="V17" s="36"/>
      <c r="W17" s="2"/>
      <c r="X17" s="37"/>
      <c r="Y17" s="20"/>
      <c r="Z17" s="20"/>
      <c r="AA17" s="20"/>
      <c r="AB17" s="20"/>
      <c r="AC17" s="20"/>
      <c r="AD17" s="20"/>
    </row>
    <row r="18" spans="1:30" x14ac:dyDescent="0.25">
      <c r="A18" s="5" t="s">
        <v>11</v>
      </c>
      <c r="B18" s="4">
        <f>744342859-14000000</f>
        <v>730342859</v>
      </c>
      <c r="C18" s="4">
        <v>48866667</v>
      </c>
      <c r="D18" s="4">
        <v>0</v>
      </c>
      <c r="E18" s="4">
        <f t="shared" si="1"/>
        <v>48866667</v>
      </c>
      <c r="F18" s="4"/>
      <c r="G18" s="4"/>
      <c r="H18" s="4"/>
      <c r="I18" s="4"/>
      <c r="J18" s="4"/>
      <c r="K18" s="4"/>
      <c r="L18" s="4"/>
      <c r="M18" s="4"/>
      <c r="N18" s="4"/>
      <c r="O18" s="4"/>
      <c r="P18" s="4">
        <f t="shared" si="4"/>
        <v>48866667</v>
      </c>
      <c r="Q18" s="4">
        <f t="shared" si="4"/>
        <v>0</v>
      </c>
      <c r="R18" s="6">
        <f t="shared" si="4"/>
        <v>48866667</v>
      </c>
      <c r="S18" s="43">
        <f t="shared" si="5"/>
        <v>100</v>
      </c>
      <c r="T18" s="34"/>
      <c r="U18" s="36"/>
      <c r="V18" s="36"/>
      <c r="W18" s="2"/>
      <c r="X18" s="37"/>
      <c r="Y18" s="20"/>
      <c r="Z18" s="20"/>
      <c r="AA18" s="20"/>
      <c r="AB18" s="20"/>
      <c r="AC18" s="20"/>
      <c r="AD18" s="20"/>
    </row>
    <row r="19" spans="1:30" x14ac:dyDescent="0.25">
      <c r="A19" s="5" t="s">
        <v>12</v>
      </c>
      <c r="B19" s="4">
        <f>389605000+1000000</f>
        <v>390605000</v>
      </c>
      <c r="C19" s="4">
        <v>6650000</v>
      </c>
      <c r="D19" s="4">
        <v>1781552</v>
      </c>
      <c r="E19" s="4">
        <f t="shared" si="1"/>
        <v>4868448</v>
      </c>
      <c r="F19" s="4"/>
      <c r="G19" s="4"/>
      <c r="H19" s="4"/>
      <c r="I19" s="4"/>
      <c r="J19" s="4"/>
      <c r="K19" s="4"/>
      <c r="L19" s="4"/>
      <c r="M19" s="4"/>
      <c r="N19" s="4"/>
      <c r="O19" s="4"/>
      <c r="P19" s="4">
        <f t="shared" si="4"/>
        <v>6650000</v>
      </c>
      <c r="Q19" s="4">
        <f t="shared" si="4"/>
        <v>1781552</v>
      </c>
      <c r="R19" s="6">
        <f t="shared" si="4"/>
        <v>4868448</v>
      </c>
      <c r="S19" s="43">
        <f t="shared" si="5"/>
        <v>73.209744360902249</v>
      </c>
      <c r="T19" s="34"/>
      <c r="U19" s="36"/>
      <c r="V19" s="36"/>
      <c r="W19" s="2"/>
      <c r="X19" s="37"/>
      <c r="Y19" s="20"/>
      <c r="Z19" s="20"/>
      <c r="AA19" s="20"/>
      <c r="AB19" s="20"/>
      <c r="AC19" s="20"/>
      <c r="AD19" s="20"/>
    </row>
    <row r="20" spans="1:30" x14ac:dyDescent="0.25">
      <c r="A20" s="12" t="s">
        <v>13</v>
      </c>
      <c r="B20" s="8">
        <f>SUM(B13:B19)</f>
        <v>6428899322</v>
      </c>
      <c r="C20" s="8">
        <f>SUM(C13:C19)</f>
        <v>529177888.33013409</v>
      </c>
      <c r="D20" s="8">
        <f t="shared" ref="D20:E20" si="6">SUM(D13:D19)</f>
        <v>93069894.719999999</v>
      </c>
      <c r="E20" s="8">
        <f t="shared" si="6"/>
        <v>436107993.61013407</v>
      </c>
      <c r="F20" s="8">
        <f t="shared" ref="F20" si="7">SUM(F13:F19)</f>
        <v>0</v>
      </c>
      <c r="G20" s="8">
        <f t="shared" ref="G20" si="8">SUM(G13:G19)</f>
        <v>0</v>
      </c>
      <c r="H20" s="8">
        <f t="shared" ref="H20" si="9">SUM(H13:H19)</f>
        <v>0</v>
      </c>
      <c r="I20" s="8">
        <f t="shared" ref="I20" si="10">SUM(I13:I19)</f>
        <v>0</v>
      </c>
      <c r="J20" s="8">
        <f t="shared" ref="J20" si="11">SUM(J13:J19)</f>
        <v>0</v>
      </c>
      <c r="K20" s="8">
        <f t="shared" ref="K20" si="12">SUM(K13:K19)</f>
        <v>0</v>
      </c>
      <c r="L20" s="8">
        <f t="shared" ref="L20" si="13">SUM(L13:L19)</f>
        <v>0</v>
      </c>
      <c r="M20" s="8">
        <f t="shared" ref="M20" si="14">SUM(M13:M19)</f>
        <v>0</v>
      </c>
      <c r="N20" s="8">
        <f t="shared" ref="N20" si="15">SUM(N13:N19)</f>
        <v>0</v>
      </c>
      <c r="O20" s="8">
        <f t="shared" ref="O20" si="16">SUM(O13:O19)</f>
        <v>0</v>
      </c>
      <c r="P20" s="8">
        <f t="shared" ref="P20" si="17">SUM(P13:P19)</f>
        <v>529177888.33013409</v>
      </c>
      <c r="Q20" s="8">
        <f t="shared" ref="Q20" si="18">SUM(Q13:Q19)</f>
        <v>93069894.719999999</v>
      </c>
      <c r="R20" s="8">
        <f t="shared" ref="R20" si="19">SUM(R13:R19)</f>
        <v>436107993.61013407</v>
      </c>
      <c r="S20" s="31">
        <f t="shared" si="3"/>
        <v>0.82412361367991016</v>
      </c>
      <c r="T20" s="34"/>
      <c r="U20" s="35"/>
      <c r="V20" s="35"/>
      <c r="W20" s="2"/>
      <c r="Y20" s="20"/>
      <c r="Z20" s="20"/>
      <c r="AA20" s="20"/>
      <c r="AB20" s="20"/>
    </row>
    <row r="21" spans="1:30" x14ac:dyDescent="0.25">
      <c r="A21" s="5" t="s">
        <v>35</v>
      </c>
      <c r="B21" s="4">
        <v>40627002</v>
      </c>
      <c r="C21" s="27">
        <v>3385583.5765486476</v>
      </c>
      <c r="D21" s="4">
        <v>3565471</v>
      </c>
      <c r="E21" s="4">
        <f t="shared" si="1"/>
        <v>-179887.4234513524</v>
      </c>
      <c r="F21" s="4"/>
      <c r="G21" s="4"/>
      <c r="H21" s="4"/>
      <c r="I21" s="4"/>
      <c r="J21" s="4"/>
      <c r="K21" s="4"/>
      <c r="L21" s="4"/>
      <c r="M21" s="4"/>
      <c r="N21" s="4"/>
      <c r="O21" s="4"/>
      <c r="P21" s="4">
        <f t="shared" ref="P21:R22" si="20">+C21</f>
        <v>3385583.5765486476</v>
      </c>
      <c r="Q21" s="4">
        <f t="shared" si="20"/>
        <v>3565471</v>
      </c>
      <c r="R21" s="6">
        <f t="shared" si="20"/>
        <v>-179887.4234513524</v>
      </c>
      <c r="S21" s="43">
        <f t="shared" si="5"/>
        <v>-5.3133357775422088</v>
      </c>
      <c r="T21" s="34"/>
      <c r="U21" s="38"/>
      <c r="V21" s="38"/>
      <c r="W21" s="2"/>
      <c r="Y21" s="20"/>
      <c r="Z21" s="20"/>
      <c r="AA21" s="20"/>
      <c r="AB21" s="20"/>
    </row>
    <row r="22" spans="1:30" x14ac:dyDescent="0.25">
      <c r="A22" s="5" t="s">
        <v>14</v>
      </c>
      <c r="B22" s="4">
        <v>17458000</v>
      </c>
      <c r="C22" s="4">
        <v>3250000</v>
      </c>
      <c r="D22" s="4">
        <v>31735</v>
      </c>
      <c r="E22" s="4">
        <f t="shared" si="1"/>
        <v>3218265</v>
      </c>
      <c r="F22" s="4"/>
      <c r="G22" s="4"/>
      <c r="H22" s="4"/>
      <c r="I22" s="4"/>
      <c r="J22" s="4"/>
      <c r="K22" s="4"/>
      <c r="L22" s="4"/>
      <c r="M22" s="4"/>
      <c r="N22" s="4"/>
      <c r="O22" s="4"/>
      <c r="P22" s="4">
        <f t="shared" si="20"/>
        <v>3250000</v>
      </c>
      <c r="Q22" s="4">
        <f t="shared" si="20"/>
        <v>31735</v>
      </c>
      <c r="R22" s="6">
        <f t="shared" si="20"/>
        <v>3218265</v>
      </c>
      <c r="S22" s="43">
        <f t="shared" si="5"/>
        <v>99.023538461538465</v>
      </c>
      <c r="T22" s="34"/>
      <c r="U22" s="38"/>
      <c r="V22" s="38"/>
      <c r="W22" s="2"/>
      <c r="Y22" s="20"/>
      <c r="Z22" s="20"/>
      <c r="AA22" s="20"/>
      <c r="AB22" s="20"/>
    </row>
    <row r="23" spans="1:30" x14ac:dyDescent="0.25">
      <c r="A23" s="12" t="s">
        <v>15</v>
      </c>
      <c r="B23" s="8">
        <f>SUM(B21:B22)</f>
        <v>58085002</v>
      </c>
      <c r="C23" s="8">
        <f>SUM(C21:C22)</f>
        <v>6635583.5765486471</v>
      </c>
      <c r="D23" s="8">
        <f t="shared" ref="D23:E23" si="21">SUM(D21:D22)</f>
        <v>3597206</v>
      </c>
      <c r="E23" s="8">
        <f t="shared" si="21"/>
        <v>3038377.5765486476</v>
      </c>
      <c r="F23" s="8">
        <f t="shared" ref="F23" si="22">SUM(F21:F22)</f>
        <v>0</v>
      </c>
      <c r="G23" s="8">
        <f t="shared" ref="G23" si="23">SUM(G21:G22)</f>
        <v>0</v>
      </c>
      <c r="H23" s="8">
        <f t="shared" ref="H23" si="24">SUM(H21:H22)</f>
        <v>0</v>
      </c>
      <c r="I23" s="8">
        <f t="shared" ref="I23" si="25">SUM(I21:I22)</f>
        <v>0</v>
      </c>
      <c r="J23" s="8">
        <f t="shared" ref="J23" si="26">SUM(J21:J22)</f>
        <v>0</v>
      </c>
      <c r="K23" s="8">
        <f t="shared" ref="K23" si="27">SUM(K21:K22)</f>
        <v>0</v>
      </c>
      <c r="L23" s="8">
        <f t="shared" ref="L23" si="28">SUM(L21:L22)</f>
        <v>0</v>
      </c>
      <c r="M23" s="8">
        <f t="shared" ref="M23" si="29">SUM(M21:M22)</f>
        <v>0</v>
      </c>
      <c r="N23" s="8">
        <f t="shared" ref="N23" si="30">SUM(N21:N22)</f>
        <v>0</v>
      </c>
      <c r="O23" s="8">
        <f t="shared" ref="O23" si="31">SUM(O21:O22)</f>
        <v>0</v>
      </c>
      <c r="P23" s="8">
        <f t="shared" ref="P23" si="32">SUM(P21:P22)</f>
        <v>6635583.5765486471</v>
      </c>
      <c r="Q23" s="8">
        <f t="shared" ref="Q23" si="33">SUM(Q21:Q22)</f>
        <v>3597206</v>
      </c>
      <c r="R23" s="8">
        <f t="shared" ref="R23" si="34">SUM(R21:R22)</f>
        <v>3038377.5765486476</v>
      </c>
      <c r="S23" s="31">
        <f t="shared" ref="S23" si="35">+R23/P23</f>
        <v>0.45789153907831465</v>
      </c>
      <c r="T23" s="34"/>
      <c r="U23" s="36"/>
      <c r="V23" s="36"/>
      <c r="W23" s="2"/>
      <c r="Y23" s="20"/>
      <c r="Z23" s="20"/>
      <c r="AA23" s="20"/>
      <c r="AB23" s="20"/>
    </row>
    <row r="24" spans="1:30" x14ac:dyDescent="0.25">
      <c r="A24" s="12" t="s">
        <v>1</v>
      </c>
      <c r="B24" s="8">
        <f>+B23+B20</f>
        <v>6486984324</v>
      </c>
      <c r="C24" s="8">
        <f>+C23+C20</f>
        <v>535813471.90668273</v>
      </c>
      <c r="D24" s="8">
        <f t="shared" ref="D24:E24" si="36">+D23+D20</f>
        <v>96667100.719999999</v>
      </c>
      <c r="E24" s="8">
        <f t="shared" si="36"/>
        <v>439146371.1866827</v>
      </c>
      <c r="F24" s="8">
        <f t="shared" ref="F24" si="37">+F23+F20</f>
        <v>0</v>
      </c>
      <c r="G24" s="8">
        <f t="shared" ref="G24" si="38">+G23+G20</f>
        <v>0</v>
      </c>
      <c r="H24" s="8">
        <f t="shared" ref="H24" si="39">+H23+H20</f>
        <v>0</v>
      </c>
      <c r="I24" s="8">
        <f t="shared" ref="I24" si="40">+I23+I20</f>
        <v>0</v>
      </c>
      <c r="J24" s="8">
        <f t="shared" ref="J24" si="41">+J23+J20</f>
        <v>0</v>
      </c>
      <c r="K24" s="8">
        <f t="shared" ref="K24" si="42">+K23+K20</f>
        <v>0</v>
      </c>
      <c r="L24" s="8">
        <f t="shared" ref="L24" si="43">+L23+L20</f>
        <v>0</v>
      </c>
      <c r="M24" s="8">
        <f t="shared" ref="M24" si="44">+M23+M20</f>
        <v>0</v>
      </c>
      <c r="N24" s="8">
        <f t="shared" ref="N24" si="45">+N23+N20</f>
        <v>0</v>
      </c>
      <c r="O24" s="8">
        <f t="shared" ref="O24" si="46">+O23+O20</f>
        <v>0</v>
      </c>
      <c r="P24" s="8">
        <f t="shared" ref="P24" si="47">+P23+P20</f>
        <v>535813471.90668273</v>
      </c>
      <c r="Q24" s="8">
        <f t="shared" ref="Q24" si="48">+Q23+Q20</f>
        <v>96667100.719999999</v>
      </c>
      <c r="R24" s="8">
        <f t="shared" ref="R24" si="49">+R23+R20</f>
        <v>439146371.1866827</v>
      </c>
      <c r="S24" s="31">
        <f t="shared" ref="S24:S34" si="50">+R24/P24</f>
        <v>0.81958814813667924</v>
      </c>
      <c r="T24" s="34"/>
      <c r="U24" s="35"/>
      <c r="V24" s="35"/>
      <c r="W24" s="2"/>
      <c r="X24" s="2"/>
      <c r="Y24" s="20"/>
      <c r="Z24" s="20"/>
      <c r="AA24" s="20"/>
      <c r="AB24" s="20"/>
    </row>
    <row r="25" spans="1:30" x14ac:dyDescent="0.25">
      <c r="A25" s="22" t="s">
        <v>58</v>
      </c>
      <c r="B25" s="4">
        <v>1516052727</v>
      </c>
      <c r="C25" s="4">
        <v>126337727.3946867</v>
      </c>
      <c r="D25" s="4">
        <v>96267509.640000001</v>
      </c>
      <c r="E25" s="4">
        <f t="shared" ref="E25:E86" si="51">+C25-D25</f>
        <v>30070217.754686698</v>
      </c>
      <c r="F25" s="4"/>
      <c r="G25" s="4"/>
      <c r="H25" s="4"/>
      <c r="I25" s="4"/>
      <c r="J25" s="4"/>
      <c r="K25" s="4"/>
      <c r="L25" s="4"/>
      <c r="M25" s="4"/>
      <c r="N25" s="4"/>
      <c r="O25" s="4"/>
      <c r="P25" s="4">
        <f t="shared" ref="P25:P33" si="52">+C25</f>
        <v>126337727.3946867</v>
      </c>
      <c r="Q25" s="4">
        <f t="shared" ref="Q25:Q33" si="53">+D25</f>
        <v>96267509.640000001</v>
      </c>
      <c r="R25" s="6">
        <f t="shared" ref="R25:R33" si="54">+E25</f>
        <v>30070217.754686698</v>
      </c>
      <c r="S25" s="43">
        <f t="shared" ref="S25:S31" si="55">+R25/P25*100</f>
        <v>23.801455333089475</v>
      </c>
      <c r="T25" s="34"/>
      <c r="U25" s="38"/>
      <c r="V25" s="38"/>
      <c r="W25" s="2"/>
      <c r="X25" s="37"/>
      <c r="Y25" s="20"/>
      <c r="Z25" s="20"/>
      <c r="AA25" s="20"/>
      <c r="AB25" s="20"/>
    </row>
    <row r="26" spans="1:30" ht="60" x14ac:dyDescent="0.25">
      <c r="A26" s="21" t="s">
        <v>65</v>
      </c>
      <c r="B26" s="4">
        <v>254272041</v>
      </c>
      <c r="C26" s="4">
        <v>20972282.5</v>
      </c>
      <c r="D26" s="4">
        <v>0</v>
      </c>
      <c r="E26" s="4">
        <f t="shared" si="51"/>
        <v>20972282.5</v>
      </c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4">
        <f t="shared" si="52"/>
        <v>20972282.5</v>
      </c>
      <c r="Q26" s="4">
        <f t="shared" si="53"/>
        <v>0</v>
      </c>
      <c r="R26" s="6">
        <f t="shared" si="54"/>
        <v>20972282.5</v>
      </c>
      <c r="S26" s="43">
        <f t="shared" si="55"/>
        <v>100</v>
      </c>
      <c r="T26" s="34"/>
      <c r="U26" s="38"/>
      <c r="V26" s="38"/>
      <c r="W26" s="2"/>
      <c r="X26" s="37"/>
      <c r="Y26" s="20"/>
      <c r="Z26" s="20"/>
    </row>
    <row r="27" spans="1:30" x14ac:dyDescent="0.25">
      <c r="A27" s="5" t="s">
        <v>16</v>
      </c>
      <c r="B27" s="4">
        <v>36000000</v>
      </c>
      <c r="C27" s="4">
        <f>40654560-28654560</f>
        <v>12000000</v>
      </c>
      <c r="D27" s="4">
        <v>31735</v>
      </c>
      <c r="E27" s="4">
        <f t="shared" si="51"/>
        <v>11968265</v>
      </c>
      <c r="F27" s="4"/>
      <c r="G27" s="4"/>
      <c r="H27" s="4"/>
      <c r="I27" s="4"/>
      <c r="J27" s="4"/>
      <c r="K27" s="4"/>
      <c r="L27" s="4"/>
      <c r="M27" s="4"/>
      <c r="N27" s="4"/>
      <c r="O27" s="4"/>
      <c r="P27" s="4">
        <f t="shared" si="52"/>
        <v>12000000</v>
      </c>
      <c r="Q27" s="4">
        <f t="shared" si="53"/>
        <v>31735</v>
      </c>
      <c r="R27" s="6">
        <f t="shared" si="54"/>
        <v>11968265</v>
      </c>
      <c r="S27" s="43">
        <f t="shared" si="55"/>
        <v>99.735541666666677</v>
      </c>
      <c r="T27" s="34"/>
      <c r="U27" s="38"/>
      <c r="V27" s="38"/>
      <c r="W27" s="2"/>
      <c r="X27" s="2"/>
    </row>
    <row r="28" spans="1:30" x14ac:dyDescent="0.25">
      <c r="A28" s="5" t="s">
        <v>17</v>
      </c>
      <c r="B28" s="4">
        <f>8582072214</f>
        <v>8582072214</v>
      </c>
      <c r="C28" s="4">
        <v>55867726.200000003</v>
      </c>
      <c r="D28" s="4">
        <v>1086170</v>
      </c>
      <c r="E28" s="4">
        <f t="shared" si="51"/>
        <v>54781556.200000003</v>
      </c>
      <c r="F28" s="4"/>
      <c r="G28" s="4"/>
      <c r="H28" s="4"/>
      <c r="I28" s="4"/>
      <c r="J28" s="4"/>
      <c r="K28" s="4"/>
      <c r="L28" s="4"/>
      <c r="M28" s="4"/>
      <c r="N28" s="4"/>
      <c r="O28" s="4"/>
      <c r="P28" s="4">
        <f t="shared" si="52"/>
        <v>55867726.200000003</v>
      </c>
      <c r="Q28" s="4">
        <f t="shared" si="53"/>
        <v>1086170</v>
      </c>
      <c r="R28" s="6">
        <f t="shared" si="54"/>
        <v>54781556.200000003</v>
      </c>
      <c r="S28" s="43">
        <f t="shared" si="55"/>
        <v>98.055818495079535</v>
      </c>
      <c r="T28" s="34"/>
      <c r="U28" s="38"/>
      <c r="V28" s="38"/>
      <c r="W28" s="2"/>
      <c r="X28" s="2"/>
    </row>
    <row r="29" spans="1:30" x14ac:dyDescent="0.25">
      <c r="A29" s="5" t="s">
        <v>7</v>
      </c>
      <c r="B29" s="4">
        <f>1481563987+36650001</f>
        <v>1518213988</v>
      </c>
      <c r="C29" s="4">
        <v>95543915.599999994</v>
      </c>
      <c r="D29" s="4">
        <v>8641952</v>
      </c>
      <c r="E29" s="4">
        <f t="shared" si="51"/>
        <v>86901963.599999994</v>
      </c>
      <c r="F29" s="4"/>
      <c r="G29" s="4"/>
      <c r="H29" s="4"/>
      <c r="I29" s="4"/>
      <c r="J29" s="4"/>
      <c r="K29" s="4"/>
      <c r="L29" s="4"/>
      <c r="M29" s="4"/>
      <c r="N29" s="4"/>
      <c r="O29" s="4"/>
      <c r="P29" s="4">
        <f t="shared" si="52"/>
        <v>95543915.599999994</v>
      </c>
      <c r="Q29" s="4">
        <f t="shared" si="53"/>
        <v>8641952</v>
      </c>
      <c r="R29" s="6">
        <f t="shared" si="54"/>
        <v>86901963.599999994</v>
      </c>
      <c r="S29" s="43">
        <f t="shared" si="55"/>
        <v>90.954994940567417</v>
      </c>
      <c r="T29" s="34"/>
      <c r="U29" s="38"/>
      <c r="V29" s="38"/>
      <c r="W29" s="2"/>
      <c r="X29" s="2"/>
    </row>
    <row r="30" spans="1:30" x14ac:dyDescent="0.25">
      <c r="A30" s="5" t="s">
        <v>57</v>
      </c>
      <c r="B30" s="4">
        <f>737281080</f>
        <v>737281080</v>
      </c>
      <c r="C30" s="4">
        <v>133706950</v>
      </c>
      <c r="D30" s="4">
        <v>117651</v>
      </c>
      <c r="E30" s="4">
        <f t="shared" si="51"/>
        <v>133589299</v>
      </c>
      <c r="F30" s="4"/>
      <c r="G30" s="4"/>
      <c r="H30" s="4"/>
      <c r="I30" s="4"/>
      <c r="J30" s="4"/>
      <c r="K30" s="4"/>
      <c r="L30" s="4"/>
      <c r="M30" s="4"/>
      <c r="N30" s="4"/>
      <c r="O30" s="4"/>
      <c r="P30" s="4">
        <f t="shared" si="52"/>
        <v>133706950</v>
      </c>
      <c r="Q30" s="4">
        <f t="shared" si="53"/>
        <v>117651</v>
      </c>
      <c r="R30" s="6">
        <f t="shared" si="54"/>
        <v>133589299</v>
      </c>
      <c r="S30" s="43">
        <f t="shared" si="55"/>
        <v>99.912008313703964</v>
      </c>
      <c r="T30" s="34"/>
      <c r="U30" s="38"/>
      <c r="V30" s="38"/>
      <c r="W30" s="2"/>
      <c r="X30" s="2"/>
    </row>
    <row r="31" spans="1:30" x14ac:dyDescent="0.25">
      <c r="A31" s="5" t="s">
        <v>66</v>
      </c>
      <c r="B31" s="4">
        <f>47254560+28654560</f>
        <v>75909120</v>
      </c>
      <c r="C31" s="4">
        <v>43954560</v>
      </c>
      <c r="D31" s="4">
        <v>0</v>
      </c>
      <c r="E31" s="4">
        <f t="shared" si="51"/>
        <v>43954560</v>
      </c>
      <c r="F31" s="4"/>
      <c r="G31" s="4"/>
      <c r="H31" s="4"/>
      <c r="I31" s="4"/>
      <c r="J31" s="4"/>
      <c r="K31" s="4"/>
      <c r="L31" s="4"/>
      <c r="M31" s="4"/>
      <c r="N31" s="4"/>
      <c r="O31" s="4"/>
      <c r="P31" s="4">
        <f t="shared" si="52"/>
        <v>43954560</v>
      </c>
      <c r="Q31" s="4">
        <f t="shared" si="53"/>
        <v>0</v>
      </c>
      <c r="R31" s="6">
        <f t="shared" si="54"/>
        <v>43954560</v>
      </c>
      <c r="S31" s="43">
        <f t="shared" si="55"/>
        <v>100</v>
      </c>
      <c r="T31" s="34"/>
      <c r="U31" s="38"/>
      <c r="V31" s="38"/>
      <c r="W31" s="2"/>
      <c r="X31" s="2"/>
    </row>
    <row r="32" spans="1:30" x14ac:dyDescent="0.25">
      <c r="A32" s="5" t="s">
        <v>90</v>
      </c>
      <c r="B32" s="4">
        <v>1500000000</v>
      </c>
      <c r="C32" s="4">
        <v>0</v>
      </c>
      <c r="D32" s="4">
        <v>0</v>
      </c>
      <c r="E32" s="4">
        <f t="shared" si="51"/>
        <v>0</v>
      </c>
      <c r="F32" s="4"/>
      <c r="G32" s="4"/>
      <c r="H32" s="4"/>
      <c r="I32" s="4"/>
      <c r="J32" s="4"/>
      <c r="K32" s="4"/>
      <c r="L32" s="4"/>
      <c r="M32" s="4"/>
      <c r="N32" s="4"/>
      <c r="O32" s="4"/>
      <c r="P32" s="4">
        <f t="shared" si="52"/>
        <v>0</v>
      </c>
      <c r="Q32" s="4">
        <f t="shared" si="53"/>
        <v>0</v>
      </c>
      <c r="R32" s="6">
        <f t="shared" si="54"/>
        <v>0</v>
      </c>
      <c r="S32" s="43">
        <v>0</v>
      </c>
      <c r="T32" s="34"/>
      <c r="U32" s="38"/>
      <c r="V32" s="38"/>
      <c r="W32" s="2"/>
      <c r="X32" s="2"/>
    </row>
    <row r="33" spans="1:27" x14ac:dyDescent="0.25">
      <c r="A33" s="5" t="s">
        <v>91</v>
      </c>
      <c r="B33" s="4">
        <v>150000000</v>
      </c>
      <c r="C33" s="4">
        <v>0</v>
      </c>
      <c r="D33" s="4">
        <v>0</v>
      </c>
      <c r="E33" s="4">
        <f t="shared" si="51"/>
        <v>0</v>
      </c>
      <c r="F33" s="4"/>
      <c r="G33" s="4"/>
      <c r="H33" s="4"/>
      <c r="I33" s="4"/>
      <c r="J33" s="4"/>
      <c r="K33" s="4"/>
      <c r="L33" s="4"/>
      <c r="M33" s="4"/>
      <c r="N33" s="4"/>
      <c r="O33" s="4"/>
      <c r="P33" s="4">
        <f t="shared" si="52"/>
        <v>0</v>
      </c>
      <c r="Q33" s="4">
        <f t="shared" si="53"/>
        <v>0</v>
      </c>
      <c r="R33" s="6">
        <f t="shared" si="54"/>
        <v>0</v>
      </c>
      <c r="S33" s="43">
        <v>0</v>
      </c>
      <c r="T33" s="34"/>
      <c r="U33" s="38"/>
      <c r="V33" s="38"/>
      <c r="W33" s="2"/>
      <c r="X33" s="2"/>
    </row>
    <row r="34" spans="1:27" x14ac:dyDescent="0.25">
      <c r="A34" s="12" t="s">
        <v>52</v>
      </c>
      <c r="B34" s="8">
        <f>SUM(B25:B33)</f>
        <v>14369801170</v>
      </c>
      <c r="C34" s="8">
        <f>SUM(C25:C33)</f>
        <v>488383161.69468665</v>
      </c>
      <c r="D34" s="8">
        <f t="shared" ref="D34:E34" si="56">SUM(D25:D33)</f>
        <v>106145017.64</v>
      </c>
      <c r="E34" s="8">
        <f t="shared" si="56"/>
        <v>382238144.05468667</v>
      </c>
      <c r="F34" s="8">
        <f t="shared" ref="F34" si="57">SUM(F25:F33)</f>
        <v>0</v>
      </c>
      <c r="G34" s="8">
        <f t="shared" ref="G34" si="58">SUM(G25:G33)</f>
        <v>0</v>
      </c>
      <c r="H34" s="8">
        <f t="shared" ref="H34" si="59">SUM(H25:H33)</f>
        <v>0</v>
      </c>
      <c r="I34" s="8">
        <f t="shared" ref="I34" si="60">SUM(I25:I33)</f>
        <v>0</v>
      </c>
      <c r="J34" s="8">
        <f t="shared" ref="J34" si="61">SUM(J25:J33)</f>
        <v>0</v>
      </c>
      <c r="K34" s="8">
        <f t="shared" ref="K34" si="62">SUM(K25:K33)</f>
        <v>0</v>
      </c>
      <c r="L34" s="8">
        <f t="shared" ref="L34" si="63">SUM(L25:L33)</f>
        <v>0</v>
      </c>
      <c r="M34" s="8">
        <f t="shared" ref="M34" si="64">SUM(M25:M33)</f>
        <v>0</v>
      </c>
      <c r="N34" s="8">
        <f t="shared" ref="N34" si="65">SUM(N25:N33)</f>
        <v>0</v>
      </c>
      <c r="O34" s="8">
        <f t="shared" ref="O34" si="66">SUM(O25:O33)</f>
        <v>0</v>
      </c>
      <c r="P34" s="8">
        <f t="shared" ref="P34" si="67">SUM(P25:P33)</f>
        <v>488383161.69468665</v>
      </c>
      <c r="Q34" s="8">
        <f t="shared" ref="Q34" si="68">SUM(Q25:Q33)</f>
        <v>106145017.64</v>
      </c>
      <c r="R34" s="8">
        <f t="shared" ref="R34" si="69">SUM(R25:R33)</f>
        <v>382238144.05468667</v>
      </c>
      <c r="S34" s="31">
        <f t="shared" si="50"/>
        <v>0.78266036594775834</v>
      </c>
      <c r="T34" s="34"/>
      <c r="U34" s="39"/>
      <c r="V34" s="39"/>
      <c r="W34" s="2"/>
    </row>
    <row r="35" spans="1:27" x14ac:dyDescent="0.25">
      <c r="A35" s="5" t="s">
        <v>54</v>
      </c>
      <c r="B35" s="4">
        <v>315108512</v>
      </c>
      <c r="C35" s="4">
        <v>26259042.681200095</v>
      </c>
      <c r="D35" s="4">
        <v>20905207</v>
      </c>
      <c r="E35" s="4">
        <f t="shared" si="51"/>
        <v>5353835.6812000945</v>
      </c>
      <c r="F35" s="4"/>
      <c r="G35" s="4"/>
      <c r="H35" s="4"/>
      <c r="I35" s="4"/>
      <c r="J35" s="4"/>
      <c r="K35" s="4"/>
      <c r="L35" s="4"/>
      <c r="M35" s="4"/>
      <c r="N35" s="4"/>
      <c r="O35" s="4"/>
      <c r="P35" s="4">
        <f t="shared" ref="P35:P66" si="70">+C35</f>
        <v>26259042.681200095</v>
      </c>
      <c r="Q35" s="4">
        <f t="shared" ref="Q35:Q66" si="71">+D35</f>
        <v>20905207</v>
      </c>
      <c r="R35" s="6">
        <f t="shared" ref="R35:R66" si="72">+E35</f>
        <v>5353835.6812000945</v>
      </c>
      <c r="S35" s="43">
        <f t="shared" ref="S35:S86" si="73">+R35/P35*100</f>
        <v>20.388540992140282</v>
      </c>
      <c r="T35" s="34"/>
      <c r="U35" s="38"/>
      <c r="V35" s="38"/>
      <c r="W35" s="2"/>
      <c r="X35" s="2"/>
      <c r="AA35" s="2"/>
    </row>
    <row r="36" spans="1:27" x14ac:dyDescent="0.25">
      <c r="A36" s="5" t="s">
        <v>55</v>
      </c>
      <c r="B36" s="4">
        <v>229762301</v>
      </c>
      <c r="C36" s="4">
        <v>19146858.412866898</v>
      </c>
      <c r="D36" s="4">
        <v>18068114</v>
      </c>
      <c r="E36" s="4">
        <f t="shared" si="51"/>
        <v>1078744.4128668979</v>
      </c>
      <c r="F36" s="4"/>
      <c r="G36" s="4"/>
      <c r="H36" s="4"/>
      <c r="I36" s="4"/>
      <c r="J36" s="4"/>
      <c r="K36" s="4"/>
      <c r="L36" s="4"/>
      <c r="M36" s="4"/>
      <c r="N36" s="4"/>
      <c r="O36" s="4"/>
      <c r="P36" s="4">
        <f t="shared" si="70"/>
        <v>19146858.412866898</v>
      </c>
      <c r="Q36" s="4">
        <f t="shared" si="71"/>
        <v>18068114</v>
      </c>
      <c r="R36" s="6">
        <f t="shared" si="72"/>
        <v>1078744.4128668979</v>
      </c>
      <c r="S36" s="43">
        <f t="shared" si="73"/>
        <v>5.6340543686371536</v>
      </c>
      <c r="T36" s="34"/>
      <c r="U36" s="38"/>
      <c r="V36" s="38"/>
      <c r="W36" s="2"/>
      <c r="X36" s="2"/>
      <c r="AA36" s="2"/>
    </row>
    <row r="37" spans="1:27" x14ac:dyDescent="0.25">
      <c r="A37" s="5" t="s">
        <v>88</v>
      </c>
      <c r="B37" s="4">
        <v>2000000</v>
      </c>
      <c r="C37" s="4">
        <v>0</v>
      </c>
      <c r="D37" s="4">
        <v>0</v>
      </c>
      <c r="E37" s="4">
        <f t="shared" si="51"/>
        <v>0</v>
      </c>
      <c r="F37" s="4"/>
      <c r="G37" s="4"/>
      <c r="H37" s="4"/>
      <c r="I37" s="4"/>
      <c r="J37" s="4"/>
      <c r="K37" s="4"/>
      <c r="L37" s="4"/>
      <c r="M37" s="4"/>
      <c r="N37" s="4"/>
      <c r="O37" s="4"/>
      <c r="P37" s="4">
        <f t="shared" si="70"/>
        <v>0</v>
      </c>
      <c r="Q37" s="4">
        <f t="shared" si="71"/>
        <v>0</v>
      </c>
      <c r="R37" s="6">
        <f t="shared" si="72"/>
        <v>0</v>
      </c>
      <c r="S37" s="43">
        <v>0</v>
      </c>
      <c r="T37" s="34"/>
      <c r="U37" s="38"/>
      <c r="V37" s="38"/>
      <c r="W37" s="2"/>
      <c r="X37" s="2"/>
      <c r="AA37" s="2"/>
    </row>
    <row r="38" spans="1:27" x14ac:dyDescent="0.25">
      <c r="A38" s="5" t="s">
        <v>18</v>
      </c>
      <c r="B38" s="4">
        <v>12120000</v>
      </c>
      <c r="C38" s="4">
        <v>760000</v>
      </c>
      <c r="D38" s="4">
        <v>794000</v>
      </c>
      <c r="E38" s="4">
        <f t="shared" si="51"/>
        <v>-34000</v>
      </c>
      <c r="F38" s="4"/>
      <c r="G38" s="4"/>
      <c r="H38" s="4"/>
      <c r="I38" s="4"/>
      <c r="J38" s="4"/>
      <c r="K38" s="4"/>
      <c r="L38" s="4"/>
      <c r="M38" s="4"/>
      <c r="N38" s="4"/>
      <c r="O38" s="4"/>
      <c r="P38" s="4">
        <f t="shared" si="70"/>
        <v>760000</v>
      </c>
      <c r="Q38" s="4">
        <f t="shared" si="71"/>
        <v>794000</v>
      </c>
      <c r="R38" s="6">
        <f t="shared" si="72"/>
        <v>-34000</v>
      </c>
      <c r="S38" s="43">
        <f t="shared" si="73"/>
        <v>-4.4736842105263159</v>
      </c>
      <c r="T38" s="34"/>
      <c r="U38" s="38"/>
      <c r="V38" s="38"/>
      <c r="W38" s="2"/>
      <c r="X38" s="2"/>
    </row>
    <row r="39" spans="1:27" x14ac:dyDescent="0.25">
      <c r="A39" s="5" t="s">
        <v>71</v>
      </c>
      <c r="B39" s="4">
        <v>10000000</v>
      </c>
      <c r="C39" s="4">
        <v>0</v>
      </c>
      <c r="D39" s="4">
        <v>0</v>
      </c>
      <c r="E39" s="4">
        <f t="shared" si="51"/>
        <v>0</v>
      </c>
      <c r="F39" s="4"/>
      <c r="G39" s="4"/>
      <c r="H39" s="4"/>
      <c r="I39" s="4"/>
      <c r="J39" s="4"/>
      <c r="K39" s="4"/>
      <c r="L39" s="4"/>
      <c r="M39" s="4"/>
      <c r="N39" s="4"/>
      <c r="O39" s="4"/>
      <c r="P39" s="4">
        <f t="shared" si="70"/>
        <v>0</v>
      </c>
      <c r="Q39" s="4">
        <f t="shared" si="71"/>
        <v>0</v>
      </c>
      <c r="R39" s="6">
        <f t="shared" si="72"/>
        <v>0</v>
      </c>
      <c r="S39" s="43">
        <v>0</v>
      </c>
      <c r="T39" s="34"/>
      <c r="U39" s="38"/>
      <c r="V39" s="38"/>
      <c r="W39" s="2"/>
      <c r="X39" s="2"/>
    </row>
    <row r="40" spans="1:27" x14ac:dyDescent="0.25">
      <c r="A40" s="5" t="s">
        <v>84</v>
      </c>
      <c r="B40" s="4">
        <v>13500000</v>
      </c>
      <c r="C40" s="4">
        <v>0</v>
      </c>
      <c r="D40" s="4">
        <v>0</v>
      </c>
      <c r="E40" s="4">
        <f t="shared" si="51"/>
        <v>0</v>
      </c>
      <c r="F40" s="4"/>
      <c r="G40" s="4"/>
      <c r="H40" s="4"/>
      <c r="I40" s="4"/>
      <c r="J40" s="4"/>
      <c r="K40" s="4"/>
      <c r="L40" s="4"/>
      <c r="M40" s="4"/>
      <c r="N40" s="4"/>
      <c r="O40" s="4"/>
      <c r="P40" s="4">
        <f t="shared" si="70"/>
        <v>0</v>
      </c>
      <c r="Q40" s="4">
        <f t="shared" si="71"/>
        <v>0</v>
      </c>
      <c r="R40" s="6">
        <f t="shared" si="72"/>
        <v>0</v>
      </c>
      <c r="S40" s="43">
        <v>0</v>
      </c>
      <c r="T40" s="34"/>
      <c r="U40" s="38"/>
      <c r="V40" s="38"/>
      <c r="W40" s="2"/>
      <c r="X40" s="2"/>
    </row>
    <row r="41" spans="1:27" x14ac:dyDescent="0.25">
      <c r="A41" s="5" t="s">
        <v>19</v>
      </c>
      <c r="B41" s="4">
        <v>134400000</v>
      </c>
      <c r="C41" s="4">
        <v>11200000</v>
      </c>
      <c r="D41" s="4">
        <v>10666000</v>
      </c>
      <c r="E41" s="4">
        <f t="shared" si="51"/>
        <v>534000</v>
      </c>
      <c r="F41" s="4"/>
      <c r="G41" s="4"/>
      <c r="H41" s="4"/>
      <c r="I41" s="4"/>
      <c r="J41" s="4"/>
      <c r="K41" s="4"/>
      <c r="L41" s="4"/>
      <c r="M41" s="4"/>
      <c r="N41" s="4"/>
      <c r="O41" s="4"/>
      <c r="P41" s="4">
        <f t="shared" si="70"/>
        <v>11200000</v>
      </c>
      <c r="Q41" s="4">
        <f t="shared" si="71"/>
        <v>10666000</v>
      </c>
      <c r="R41" s="6">
        <f t="shared" si="72"/>
        <v>534000</v>
      </c>
      <c r="S41" s="43">
        <f t="shared" si="73"/>
        <v>4.7678571428571432</v>
      </c>
      <c r="T41" s="34"/>
      <c r="U41" s="38"/>
      <c r="V41" s="38"/>
      <c r="W41" s="2"/>
      <c r="X41" s="2"/>
    </row>
    <row r="42" spans="1:27" ht="30" x14ac:dyDescent="0.25">
      <c r="A42" s="21" t="s">
        <v>89</v>
      </c>
      <c r="B42" s="4">
        <v>27000000</v>
      </c>
      <c r="C42" s="4">
        <v>0</v>
      </c>
      <c r="D42" s="4">
        <v>0</v>
      </c>
      <c r="E42" s="4">
        <f t="shared" si="51"/>
        <v>0</v>
      </c>
      <c r="F42" s="4"/>
      <c r="G42" s="4"/>
      <c r="H42" s="4"/>
      <c r="I42" s="4"/>
      <c r="J42" s="4"/>
      <c r="K42" s="4"/>
      <c r="L42" s="4"/>
      <c r="M42" s="4"/>
      <c r="N42" s="4"/>
      <c r="O42" s="4"/>
      <c r="P42" s="4">
        <f t="shared" si="70"/>
        <v>0</v>
      </c>
      <c r="Q42" s="4">
        <f t="shared" si="71"/>
        <v>0</v>
      </c>
      <c r="R42" s="6">
        <f t="shared" si="72"/>
        <v>0</v>
      </c>
      <c r="S42" s="43">
        <v>0</v>
      </c>
      <c r="T42" s="34"/>
      <c r="U42" s="38"/>
      <c r="V42" s="38"/>
      <c r="W42" s="2"/>
      <c r="X42" s="2"/>
    </row>
    <row r="43" spans="1:27" x14ac:dyDescent="0.25">
      <c r="A43" s="5" t="s">
        <v>72</v>
      </c>
      <c r="B43" s="4">
        <v>93058000</v>
      </c>
      <c r="C43" s="4">
        <v>5760000</v>
      </c>
      <c r="D43" s="4">
        <v>2176000</v>
      </c>
      <c r="E43" s="4">
        <f t="shared" si="51"/>
        <v>3584000</v>
      </c>
      <c r="F43" s="4"/>
      <c r="G43" s="4"/>
      <c r="H43" s="4"/>
      <c r="I43" s="4"/>
      <c r="J43" s="4"/>
      <c r="K43" s="4"/>
      <c r="L43" s="4"/>
      <c r="M43" s="4"/>
      <c r="N43" s="4"/>
      <c r="O43" s="4"/>
      <c r="P43" s="4">
        <f t="shared" si="70"/>
        <v>5760000</v>
      </c>
      <c r="Q43" s="4">
        <f t="shared" si="71"/>
        <v>2176000</v>
      </c>
      <c r="R43" s="6">
        <f t="shared" si="72"/>
        <v>3584000</v>
      </c>
      <c r="S43" s="43">
        <f t="shared" si="73"/>
        <v>62.222222222222221</v>
      </c>
      <c r="T43" s="34"/>
      <c r="U43" s="38"/>
      <c r="V43" s="38"/>
      <c r="W43" s="2"/>
      <c r="X43" s="2"/>
    </row>
    <row r="44" spans="1:27" ht="60" x14ac:dyDescent="0.25">
      <c r="A44" s="21" t="s">
        <v>65</v>
      </c>
      <c r="B44" s="4">
        <v>10140000</v>
      </c>
      <c r="C44" s="4">
        <v>3980000</v>
      </c>
      <c r="D44" s="4">
        <v>0</v>
      </c>
      <c r="E44" s="4">
        <f t="shared" si="51"/>
        <v>3980000</v>
      </c>
      <c r="F44" s="4"/>
      <c r="G44" s="4"/>
      <c r="H44" s="4"/>
      <c r="I44" s="4"/>
      <c r="J44" s="4"/>
      <c r="K44" s="4"/>
      <c r="L44" s="4"/>
      <c r="M44" s="4"/>
      <c r="N44" s="4"/>
      <c r="O44" s="4"/>
      <c r="P44" s="4">
        <f t="shared" si="70"/>
        <v>3980000</v>
      </c>
      <c r="Q44" s="4">
        <f t="shared" si="71"/>
        <v>0</v>
      </c>
      <c r="R44" s="6">
        <f t="shared" si="72"/>
        <v>3980000</v>
      </c>
      <c r="S44" s="43">
        <f t="shared" si="73"/>
        <v>100</v>
      </c>
      <c r="T44" s="34"/>
      <c r="U44" s="38"/>
      <c r="V44" s="38"/>
      <c r="W44" s="2"/>
      <c r="X44" s="2"/>
    </row>
    <row r="45" spans="1:27" ht="45" x14ac:dyDescent="0.25">
      <c r="A45" s="21" t="s">
        <v>20</v>
      </c>
      <c r="B45" s="4">
        <v>4000000</v>
      </c>
      <c r="C45" s="4">
        <v>0</v>
      </c>
      <c r="D45" s="4">
        <v>0</v>
      </c>
      <c r="E45" s="4">
        <f t="shared" si="51"/>
        <v>0</v>
      </c>
      <c r="F45" s="4"/>
      <c r="G45" s="4"/>
      <c r="H45" s="4"/>
      <c r="I45" s="4"/>
      <c r="J45" s="4"/>
      <c r="K45" s="4"/>
      <c r="L45" s="4"/>
      <c r="M45" s="4"/>
      <c r="N45" s="4"/>
      <c r="O45" s="4"/>
      <c r="P45" s="4">
        <f t="shared" si="70"/>
        <v>0</v>
      </c>
      <c r="Q45" s="4">
        <f t="shared" si="71"/>
        <v>0</v>
      </c>
      <c r="R45" s="6">
        <f t="shared" si="72"/>
        <v>0</v>
      </c>
      <c r="S45" s="43">
        <v>0</v>
      </c>
      <c r="T45" s="34"/>
      <c r="U45" s="38"/>
      <c r="V45" s="38"/>
      <c r="W45" s="2"/>
      <c r="X45" s="2"/>
    </row>
    <row r="46" spans="1:27" x14ac:dyDescent="0.25">
      <c r="A46" s="5" t="s">
        <v>21</v>
      </c>
      <c r="B46" s="4">
        <v>13200000</v>
      </c>
      <c r="C46" s="4">
        <v>500000</v>
      </c>
      <c r="D46" s="4">
        <v>0</v>
      </c>
      <c r="E46" s="4">
        <f t="shared" si="51"/>
        <v>500000</v>
      </c>
      <c r="F46" s="4"/>
      <c r="G46" s="4"/>
      <c r="H46" s="4"/>
      <c r="I46" s="4"/>
      <c r="J46" s="4"/>
      <c r="K46" s="4"/>
      <c r="L46" s="4"/>
      <c r="M46" s="4"/>
      <c r="N46" s="4"/>
      <c r="O46" s="4"/>
      <c r="P46" s="4">
        <f t="shared" si="70"/>
        <v>500000</v>
      </c>
      <c r="Q46" s="4">
        <f t="shared" si="71"/>
        <v>0</v>
      </c>
      <c r="R46" s="6">
        <f t="shared" si="72"/>
        <v>500000</v>
      </c>
      <c r="S46" s="43">
        <f t="shared" si="73"/>
        <v>100</v>
      </c>
      <c r="T46" s="34"/>
      <c r="U46" s="38"/>
      <c r="V46" s="38"/>
      <c r="W46" s="2"/>
      <c r="X46" s="2"/>
    </row>
    <row r="47" spans="1:27" x14ac:dyDescent="0.25">
      <c r="A47" s="5" t="s">
        <v>22</v>
      </c>
      <c r="B47" s="4">
        <v>16200000</v>
      </c>
      <c r="C47" s="4">
        <v>1350000</v>
      </c>
      <c r="D47" s="4">
        <v>0</v>
      </c>
      <c r="E47" s="4">
        <f t="shared" si="51"/>
        <v>1350000</v>
      </c>
      <c r="F47" s="4"/>
      <c r="G47" s="4"/>
      <c r="H47" s="4"/>
      <c r="I47" s="4"/>
      <c r="J47" s="4"/>
      <c r="K47" s="4"/>
      <c r="L47" s="4"/>
      <c r="M47" s="4"/>
      <c r="N47" s="4"/>
      <c r="O47" s="4"/>
      <c r="P47" s="4">
        <f t="shared" si="70"/>
        <v>1350000</v>
      </c>
      <c r="Q47" s="4">
        <f t="shared" si="71"/>
        <v>0</v>
      </c>
      <c r="R47" s="6">
        <f t="shared" si="72"/>
        <v>1350000</v>
      </c>
      <c r="S47" s="43">
        <f t="shared" si="73"/>
        <v>100</v>
      </c>
      <c r="T47" s="34"/>
      <c r="U47" s="38"/>
      <c r="V47" s="38"/>
      <c r="W47" s="2"/>
      <c r="X47" s="2"/>
    </row>
    <row r="48" spans="1:27" x14ac:dyDescent="0.25">
      <c r="A48" s="21" t="s">
        <v>85</v>
      </c>
      <c r="B48" s="4">
        <v>6000000</v>
      </c>
      <c r="C48" s="4">
        <v>500000</v>
      </c>
      <c r="D48" s="4">
        <v>466260</v>
      </c>
      <c r="E48" s="4">
        <f t="shared" si="51"/>
        <v>33740</v>
      </c>
      <c r="F48" s="4"/>
      <c r="G48" s="4"/>
      <c r="H48" s="4"/>
      <c r="I48" s="4"/>
      <c r="J48" s="4"/>
      <c r="K48" s="4"/>
      <c r="L48" s="4"/>
      <c r="M48" s="4"/>
      <c r="N48" s="4"/>
      <c r="O48" s="4"/>
      <c r="P48" s="4">
        <f t="shared" si="70"/>
        <v>500000</v>
      </c>
      <c r="Q48" s="4">
        <f t="shared" si="71"/>
        <v>466260</v>
      </c>
      <c r="R48" s="6">
        <f t="shared" si="72"/>
        <v>33740</v>
      </c>
      <c r="S48" s="43">
        <f t="shared" si="73"/>
        <v>6.7480000000000002</v>
      </c>
      <c r="T48" s="34"/>
      <c r="U48" s="38"/>
      <c r="V48" s="38"/>
      <c r="W48" s="2"/>
      <c r="X48" s="2"/>
    </row>
    <row r="49" spans="1:24" x14ac:dyDescent="0.25">
      <c r="A49" s="5" t="s">
        <v>23</v>
      </c>
      <c r="B49" s="4">
        <v>12892000</v>
      </c>
      <c r="C49" s="4">
        <v>0</v>
      </c>
      <c r="D49" s="4">
        <v>0</v>
      </c>
      <c r="E49" s="4">
        <f t="shared" si="51"/>
        <v>0</v>
      </c>
      <c r="F49" s="4"/>
      <c r="G49" s="4"/>
      <c r="H49" s="4"/>
      <c r="I49" s="4"/>
      <c r="J49" s="4"/>
      <c r="K49" s="4"/>
      <c r="L49" s="4"/>
      <c r="M49" s="4"/>
      <c r="N49" s="4"/>
      <c r="O49" s="4"/>
      <c r="P49" s="4">
        <f t="shared" si="70"/>
        <v>0</v>
      </c>
      <c r="Q49" s="4">
        <f t="shared" si="71"/>
        <v>0</v>
      </c>
      <c r="R49" s="6">
        <f t="shared" si="72"/>
        <v>0</v>
      </c>
      <c r="S49" s="43">
        <v>0</v>
      </c>
      <c r="T49" s="34"/>
      <c r="U49" s="38"/>
      <c r="V49" s="38"/>
      <c r="W49" s="2"/>
      <c r="X49" s="2"/>
    </row>
    <row r="50" spans="1:24" ht="30" x14ac:dyDescent="0.25">
      <c r="A50" s="21" t="s">
        <v>37</v>
      </c>
      <c r="B50" s="4">
        <v>47040000</v>
      </c>
      <c r="C50" s="4">
        <v>3920000</v>
      </c>
      <c r="D50" s="4">
        <v>4201894</v>
      </c>
      <c r="E50" s="4">
        <f t="shared" si="51"/>
        <v>-281894</v>
      </c>
      <c r="F50" s="4"/>
      <c r="G50" s="4"/>
      <c r="H50" s="4"/>
      <c r="I50" s="4"/>
      <c r="J50" s="4"/>
      <c r="K50" s="4"/>
      <c r="L50" s="4"/>
      <c r="M50" s="4"/>
      <c r="N50" s="4"/>
      <c r="O50" s="4"/>
      <c r="P50" s="4">
        <f t="shared" si="70"/>
        <v>3920000</v>
      </c>
      <c r="Q50" s="4">
        <f t="shared" si="71"/>
        <v>4201894</v>
      </c>
      <c r="R50" s="6">
        <f t="shared" si="72"/>
        <v>-281894</v>
      </c>
      <c r="S50" s="43">
        <f t="shared" si="73"/>
        <v>-7.1911734693877554</v>
      </c>
      <c r="T50" s="34">
        <f>+D50+D53+D85+D86</f>
        <v>63447894</v>
      </c>
      <c r="U50" s="38">
        <f>+C50+C52+C53+C54+C58+C66+C74+C85+C86</f>
        <v>83125000</v>
      </c>
      <c r="V50" s="38"/>
      <c r="W50" s="2"/>
      <c r="X50" s="2"/>
    </row>
    <row r="51" spans="1:24" ht="30" hidden="1" x14ac:dyDescent="0.25">
      <c r="A51" s="21" t="s">
        <v>24</v>
      </c>
      <c r="B51" s="4"/>
      <c r="C51" s="4">
        <v>0</v>
      </c>
      <c r="D51" s="4">
        <v>0</v>
      </c>
      <c r="E51" s="4">
        <f t="shared" si="51"/>
        <v>0</v>
      </c>
      <c r="F51" s="4"/>
      <c r="G51" s="4"/>
      <c r="H51" s="4"/>
      <c r="I51" s="4"/>
      <c r="J51" s="4"/>
      <c r="K51" s="4"/>
      <c r="L51" s="4"/>
      <c r="M51" s="4"/>
      <c r="N51" s="4"/>
      <c r="O51" s="4"/>
      <c r="P51" s="4">
        <f t="shared" si="70"/>
        <v>0</v>
      </c>
      <c r="Q51" s="4">
        <f t="shared" si="71"/>
        <v>0</v>
      </c>
      <c r="R51" s="6">
        <f t="shared" si="72"/>
        <v>0</v>
      </c>
      <c r="S51" s="43" t="e">
        <f t="shared" si="73"/>
        <v>#DIV/0!</v>
      </c>
      <c r="T51" s="34"/>
      <c r="U51" s="38"/>
      <c r="V51" s="38"/>
      <c r="W51" s="2"/>
      <c r="X51" s="2"/>
    </row>
    <row r="52" spans="1:24" x14ac:dyDescent="0.25">
      <c r="A52" s="21" t="s">
        <v>25</v>
      </c>
      <c r="B52" s="4">
        <v>39840000</v>
      </c>
      <c r="C52" s="4">
        <v>3320000</v>
      </c>
      <c r="D52" s="4">
        <v>0</v>
      </c>
      <c r="E52" s="4">
        <f t="shared" si="51"/>
        <v>3320000</v>
      </c>
      <c r="F52" s="4"/>
      <c r="G52" s="4"/>
      <c r="H52" s="4"/>
      <c r="I52" s="4"/>
      <c r="J52" s="4"/>
      <c r="K52" s="4"/>
      <c r="L52" s="4"/>
      <c r="M52" s="4"/>
      <c r="N52" s="4"/>
      <c r="O52" s="4"/>
      <c r="P52" s="4">
        <f t="shared" si="70"/>
        <v>3320000</v>
      </c>
      <c r="Q52" s="4">
        <f t="shared" si="71"/>
        <v>0</v>
      </c>
      <c r="R52" s="6">
        <f t="shared" si="72"/>
        <v>3320000</v>
      </c>
      <c r="S52" s="43">
        <f t="shared" si="73"/>
        <v>100</v>
      </c>
      <c r="T52" s="34"/>
      <c r="U52" s="38"/>
      <c r="V52" s="38"/>
      <c r="W52" s="2"/>
      <c r="X52" s="2"/>
    </row>
    <row r="53" spans="1:24" x14ac:dyDescent="0.25">
      <c r="A53" s="5" t="s">
        <v>60</v>
      </c>
      <c r="B53" s="4">
        <v>40200000</v>
      </c>
      <c r="C53" s="4">
        <v>3350000</v>
      </c>
      <c r="D53" s="4">
        <v>3350000</v>
      </c>
      <c r="E53" s="4">
        <f t="shared" si="51"/>
        <v>0</v>
      </c>
      <c r="F53" s="4"/>
      <c r="G53" s="4"/>
      <c r="H53" s="4"/>
      <c r="I53" s="4"/>
      <c r="J53" s="4"/>
      <c r="K53" s="4"/>
      <c r="L53" s="4"/>
      <c r="M53" s="4"/>
      <c r="N53" s="4"/>
      <c r="O53" s="4"/>
      <c r="P53" s="4">
        <f t="shared" si="70"/>
        <v>3350000</v>
      </c>
      <c r="Q53" s="4">
        <f t="shared" si="71"/>
        <v>3350000</v>
      </c>
      <c r="R53" s="6">
        <f t="shared" si="72"/>
        <v>0</v>
      </c>
      <c r="S53" s="43">
        <f t="shared" si="73"/>
        <v>0</v>
      </c>
      <c r="T53" s="34"/>
      <c r="U53" s="38"/>
      <c r="V53" s="38"/>
      <c r="W53" s="2"/>
      <c r="X53" s="2"/>
    </row>
    <row r="54" spans="1:24" x14ac:dyDescent="0.25">
      <c r="A54" s="5" t="s">
        <v>26</v>
      </c>
      <c r="B54" s="4">
        <v>40080000</v>
      </c>
      <c r="C54" s="4">
        <v>3340000</v>
      </c>
      <c r="D54" s="4">
        <v>0</v>
      </c>
      <c r="E54" s="4">
        <f t="shared" si="51"/>
        <v>3340000</v>
      </c>
      <c r="F54" s="4"/>
      <c r="G54" s="4"/>
      <c r="H54" s="4"/>
      <c r="I54" s="4"/>
      <c r="J54" s="4"/>
      <c r="K54" s="4"/>
      <c r="L54" s="4"/>
      <c r="M54" s="4"/>
      <c r="N54" s="4"/>
      <c r="O54" s="4"/>
      <c r="P54" s="4">
        <f t="shared" si="70"/>
        <v>3340000</v>
      </c>
      <c r="Q54" s="4">
        <f t="shared" si="71"/>
        <v>0</v>
      </c>
      <c r="R54" s="6">
        <f t="shared" si="72"/>
        <v>3340000</v>
      </c>
      <c r="S54" s="43">
        <f t="shared" si="73"/>
        <v>100</v>
      </c>
      <c r="T54" s="34"/>
      <c r="U54" s="38"/>
      <c r="V54" s="38"/>
      <c r="W54" s="2"/>
      <c r="X54" s="2"/>
    </row>
    <row r="55" spans="1:24" x14ac:dyDescent="0.25">
      <c r="A55" s="5" t="s">
        <v>92</v>
      </c>
      <c r="B55" s="4">
        <v>70450000</v>
      </c>
      <c r="C55" s="4">
        <v>1700000</v>
      </c>
      <c r="D55" s="4">
        <v>0</v>
      </c>
      <c r="E55" s="4">
        <f t="shared" si="51"/>
        <v>1700000</v>
      </c>
      <c r="F55" s="4"/>
      <c r="G55" s="4"/>
      <c r="H55" s="4"/>
      <c r="I55" s="4"/>
      <c r="J55" s="4"/>
      <c r="K55" s="4"/>
      <c r="L55" s="4"/>
      <c r="M55" s="4"/>
      <c r="N55" s="4"/>
      <c r="O55" s="4"/>
      <c r="P55" s="4">
        <f t="shared" si="70"/>
        <v>1700000</v>
      </c>
      <c r="Q55" s="4">
        <f t="shared" si="71"/>
        <v>0</v>
      </c>
      <c r="R55" s="6">
        <f t="shared" si="72"/>
        <v>1700000</v>
      </c>
      <c r="S55" s="43">
        <f t="shared" si="73"/>
        <v>100</v>
      </c>
      <c r="T55" s="34"/>
      <c r="U55" s="38"/>
      <c r="V55" s="38"/>
      <c r="W55" s="2"/>
      <c r="X55" s="2"/>
    </row>
    <row r="56" spans="1:24" x14ac:dyDescent="0.25">
      <c r="A56" s="5" t="s">
        <v>73</v>
      </c>
      <c r="B56" s="4">
        <v>500000</v>
      </c>
      <c r="C56" s="4">
        <v>0</v>
      </c>
      <c r="D56" s="4">
        <v>0</v>
      </c>
      <c r="E56" s="4">
        <f t="shared" si="51"/>
        <v>0</v>
      </c>
      <c r="F56" s="4"/>
      <c r="G56" s="4"/>
      <c r="H56" s="4"/>
      <c r="I56" s="4"/>
      <c r="J56" s="4"/>
      <c r="K56" s="4"/>
      <c r="L56" s="4"/>
      <c r="M56" s="4"/>
      <c r="N56" s="4"/>
      <c r="O56" s="4"/>
      <c r="P56" s="4">
        <f t="shared" si="70"/>
        <v>0</v>
      </c>
      <c r="Q56" s="4">
        <f t="shared" si="71"/>
        <v>0</v>
      </c>
      <c r="R56" s="6">
        <f t="shared" si="72"/>
        <v>0</v>
      </c>
      <c r="S56" s="43">
        <v>0</v>
      </c>
      <c r="T56" s="34"/>
      <c r="U56" s="38"/>
      <c r="V56" s="38"/>
      <c r="W56" s="2"/>
      <c r="X56" s="2"/>
    </row>
    <row r="57" spans="1:24" x14ac:dyDescent="0.25">
      <c r="A57" s="5" t="s">
        <v>27</v>
      </c>
      <c r="B57" s="4">
        <v>11377300</v>
      </c>
      <c r="C57" s="4">
        <v>0</v>
      </c>
      <c r="D57" s="4">
        <v>0</v>
      </c>
      <c r="E57" s="4">
        <f t="shared" si="51"/>
        <v>0</v>
      </c>
      <c r="F57" s="4"/>
      <c r="G57" s="4"/>
      <c r="H57" s="4"/>
      <c r="I57" s="4"/>
      <c r="J57" s="4"/>
      <c r="K57" s="4"/>
      <c r="L57" s="4"/>
      <c r="M57" s="4"/>
      <c r="N57" s="4"/>
      <c r="O57" s="4"/>
      <c r="P57" s="4">
        <f t="shared" si="70"/>
        <v>0</v>
      </c>
      <c r="Q57" s="4">
        <f t="shared" si="71"/>
        <v>0</v>
      </c>
      <c r="R57" s="6">
        <f t="shared" si="72"/>
        <v>0</v>
      </c>
      <c r="S57" s="43">
        <v>0</v>
      </c>
      <c r="T57" s="34"/>
      <c r="U57" s="38"/>
      <c r="V57" s="38"/>
      <c r="W57" s="2"/>
      <c r="X57" s="2"/>
    </row>
    <row r="58" spans="1:24" x14ac:dyDescent="0.25">
      <c r="A58" s="5" t="s">
        <v>74</v>
      </c>
      <c r="B58" s="4">
        <v>46000000</v>
      </c>
      <c r="C58" s="4">
        <v>2000000</v>
      </c>
      <c r="D58" s="4">
        <v>0</v>
      </c>
      <c r="E58" s="4">
        <f t="shared" si="51"/>
        <v>2000000</v>
      </c>
      <c r="F58" s="4"/>
      <c r="G58" s="4"/>
      <c r="H58" s="4"/>
      <c r="I58" s="4"/>
      <c r="J58" s="4"/>
      <c r="K58" s="4"/>
      <c r="L58" s="4"/>
      <c r="M58" s="4"/>
      <c r="N58" s="4"/>
      <c r="O58" s="4"/>
      <c r="P58" s="4">
        <f t="shared" si="70"/>
        <v>2000000</v>
      </c>
      <c r="Q58" s="4">
        <f t="shared" si="71"/>
        <v>0</v>
      </c>
      <c r="R58" s="6">
        <f t="shared" si="72"/>
        <v>2000000</v>
      </c>
      <c r="S58" s="43">
        <f t="shared" si="73"/>
        <v>100</v>
      </c>
      <c r="T58" s="34"/>
      <c r="U58" s="38"/>
      <c r="V58" s="38"/>
      <c r="W58" s="2"/>
      <c r="X58" s="2"/>
    </row>
    <row r="59" spans="1:24" hidden="1" x14ac:dyDescent="0.25">
      <c r="A59" s="5" t="s">
        <v>28</v>
      </c>
      <c r="B59" s="4"/>
      <c r="C59" s="4">
        <v>0</v>
      </c>
      <c r="D59" s="4">
        <v>0</v>
      </c>
      <c r="E59" s="4">
        <f t="shared" si="51"/>
        <v>0</v>
      </c>
      <c r="F59" s="4"/>
      <c r="G59" s="4"/>
      <c r="H59" s="4"/>
      <c r="I59" s="4"/>
      <c r="J59" s="4"/>
      <c r="K59" s="4"/>
      <c r="L59" s="4"/>
      <c r="M59" s="4"/>
      <c r="N59" s="4"/>
      <c r="O59" s="4"/>
      <c r="P59" s="4">
        <f t="shared" si="70"/>
        <v>0</v>
      </c>
      <c r="Q59" s="4">
        <f t="shared" si="71"/>
        <v>0</v>
      </c>
      <c r="R59" s="6">
        <f t="shared" si="72"/>
        <v>0</v>
      </c>
      <c r="S59" s="43" t="e">
        <f t="shared" si="73"/>
        <v>#DIV/0!</v>
      </c>
      <c r="T59" s="34"/>
      <c r="U59" s="38"/>
      <c r="V59" s="38"/>
      <c r="W59" s="2"/>
      <c r="X59" s="2"/>
    </row>
    <row r="60" spans="1:24" hidden="1" x14ac:dyDescent="0.25">
      <c r="A60" s="5" t="s">
        <v>29</v>
      </c>
      <c r="B60" s="4"/>
      <c r="C60" s="4"/>
      <c r="D60" s="4"/>
      <c r="E60" s="4">
        <f t="shared" si="51"/>
        <v>0</v>
      </c>
      <c r="F60" s="4"/>
      <c r="G60" s="4"/>
      <c r="H60" s="4"/>
      <c r="I60" s="4"/>
      <c r="J60" s="4"/>
      <c r="K60" s="4"/>
      <c r="L60" s="4"/>
      <c r="M60" s="4"/>
      <c r="N60" s="4"/>
      <c r="O60" s="4"/>
      <c r="P60" s="4">
        <f t="shared" si="70"/>
        <v>0</v>
      </c>
      <c r="Q60" s="4">
        <f t="shared" si="71"/>
        <v>0</v>
      </c>
      <c r="R60" s="6">
        <f t="shared" si="72"/>
        <v>0</v>
      </c>
      <c r="S60" s="43" t="e">
        <f t="shared" si="73"/>
        <v>#DIV/0!</v>
      </c>
      <c r="T60" s="34"/>
      <c r="U60" s="38"/>
      <c r="V60" s="38"/>
      <c r="W60" s="2"/>
      <c r="X60" s="2"/>
    </row>
    <row r="61" spans="1:24" x14ac:dyDescent="0.25">
      <c r="A61" s="5" t="s">
        <v>69</v>
      </c>
      <c r="B61" s="4">
        <v>61200000</v>
      </c>
      <c r="C61" s="4">
        <v>100000</v>
      </c>
      <c r="D61" s="4">
        <v>0</v>
      </c>
      <c r="E61" s="4">
        <f t="shared" si="51"/>
        <v>100000</v>
      </c>
      <c r="F61" s="4"/>
      <c r="G61" s="4"/>
      <c r="H61" s="4"/>
      <c r="I61" s="4"/>
      <c r="J61" s="4"/>
      <c r="K61" s="4"/>
      <c r="L61" s="4"/>
      <c r="M61" s="4"/>
      <c r="N61" s="4"/>
      <c r="O61" s="4"/>
      <c r="P61" s="4">
        <f t="shared" si="70"/>
        <v>100000</v>
      </c>
      <c r="Q61" s="4">
        <f t="shared" si="71"/>
        <v>0</v>
      </c>
      <c r="R61" s="6">
        <f t="shared" si="72"/>
        <v>100000</v>
      </c>
      <c r="S61" s="43">
        <f t="shared" si="73"/>
        <v>100</v>
      </c>
      <c r="T61" s="34"/>
      <c r="U61" s="38"/>
      <c r="V61" s="38"/>
      <c r="W61" s="2"/>
      <c r="X61" s="2"/>
    </row>
    <row r="62" spans="1:24" hidden="1" x14ac:dyDescent="0.25">
      <c r="A62" s="5" t="s">
        <v>30</v>
      </c>
      <c r="B62" s="4"/>
      <c r="C62" s="4"/>
      <c r="D62" s="4"/>
      <c r="E62" s="4">
        <f t="shared" si="51"/>
        <v>0</v>
      </c>
      <c r="F62" s="4"/>
      <c r="G62" s="4"/>
      <c r="H62" s="4"/>
      <c r="I62" s="4"/>
      <c r="J62" s="4"/>
      <c r="K62" s="4"/>
      <c r="L62" s="4"/>
      <c r="M62" s="4"/>
      <c r="N62" s="4"/>
      <c r="O62" s="4"/>
      <c r="P62" s="4">
        <f t="shared" si="70"/>
        <v>0</v>
      </c>
      <c r="Q62" s="4">
        <f t="shared" si="71"/>
        <v>0</v>
      </c>
      <c r="R62" s="6">
        <f t="shared" si="72"/>
        <v>0</v>
      </c>
      <c r="S62" s="43" t="e">
        <f t="shared" si="73"/>
        <v>#DIV/0!</v>
      </c>
      <c r="T62" s="34"/>
      <c r="U62" s="38"/>
      <c r="V62" s="38"/>
      <c r="W62" s="2"/>
      <c r="X62" s="2"/>
    </row>
    <row r="63" spans="1:24" hidden="1" x14ac:dyDescent="0.25">
      <c r="A63" s="5" t="s">
        <v>31</v>
      </c>
      <c r="B63" s="4"/>
      <c r="C63" s="4"/>
      <c r="D63" s="4"/>
      <c r="E63" s="4">
        <f t="shared" si="51"/>
        <v>0</v>
      </c>
      <c r="F63" s="4"/>
      <c r="G63" s="4"/>
      <c r="H63" s="4"/>
      <c r="I63" s="4"/>
      <c r="J63" s="4"/>
      <c r="K63" s="4"/>
      <c r="L63" s="4"/>
      <c r="M63" s="4"/>
      <c r="N63" s="4"/>
      <c r="O63" s="4"/>
      <c r="P63" s="4">
        <f t="shared" si="70"/>
        <v>0</v>
      </c>
      <c r="Q63" s="4">
        <f t="shared" si="71"/>
        <v>0</v>
      </c>
      <c r="R63" s="6">
        <f t="shared" si="72"/>
        <v>0</v>
      </c>
      <c r="S63" s="43" t="e">
        <f t="shared" si="73"/>
        <v>#DIV/0!</v>
      </c>
      <c r="T63" s="34"/>
      <c r="U63" s="38"/>
      <c r="V63" s="38"/>
      <c r="W63" s="2"/>
      <c r="X63" s="2"/>
    </row>
    <row r="64" spans="1:24" x14ac:dyDescent="0.25">
      <c r="A64" s="21" t="s">
        <v>32</v>
      </c>
      <c r="B64" s="4">
        <v>32400000</v>
      </c>
      <c r="C64" s="4">
        <v>2700000</v>
      </c>
      <c r="D64" s="4">
        <v>2112800</v>
      </c>
      <c r="E64" s="4">
        <f t="shared" si="51"/>
        <v>587200</v>
      </c>
      <c r="F64" s="4"/>
      <c r="G64" s="4"/>
      <c r="H64" s="4"/>
      <c r="I64" s="4"/>
      <c r="J64" s="4"/>
      <c r="K64" s="4"/>
      <c r="L64" s="4"/>
      <c r="M64" s="4"/>
      <c r="N64" s="4"/>
      <c r="O64" s="4"/>
      <c r="P64" s="4">
        <f t="shared" si="70"/>
        <v>2700000</v>
      </c>
      <c r="Q64" s="4">
        <f t="shared" si="71"/>
        <v>2112800</v>
      </c>
      <c r="R64" s="6">
        <f t="shared" si="72"/>
        <v>587200</v>
      </c>
      <c r="S64" s="43">
        <f t="shared" si="73"/>
        <v>21.748148148148147</v>
      </c>
      <c r="T64" s="34"/>
      <c r="U64" s="38"/>
      <c r="V64" s="38"/>
      <c r="W64" s="2"/>
      <c r="X64" s="2"/>
    </row>
    <row r="65" spans="1:24" x14ac:dyDescent="0.25">
      <c r="A65" s="5" t="s">
        <v>82</v>
      </c>
      <c r="B65" s="4">
        <v>11550000</v>
      </c>
      <c r="C65" s="4">
        <v>0</v>
      </c>
      <c r="D65" s="4">
        <v>0</v>
      </c>
      <c r="E65" s="4">
        <f t="shared" si="51"/>
        <v>0</v>
      </c>
      <c r="F65" s="4"/>
      <c r="G65" s="4"/>
      <c r="H65" s="4"/>
      <c r="I65" s="4"/>
      <c r="J65" s="4"/>
      <c r="K65" s="4"/>
      <c r="L65" s="4"/>
      <c r="M65" s="4"/>
      <c r="N65" s="4"/>
      <c r="O65" s="4"/>
      <c r="P65" s="4">
        <f t="shared" si="70"/>
        <v>0</v>
      </c>
      <c r="Q65" s="4">
        <f t="shared" si="71"/>
        <v>0</v>
      </c>
      <c r="R65" s="6">
        <f t="shared" si="72"/>
        <v>0</v>
      </c>
      <c r="S65" s="43">
        <v>0</v>
      </c>
      <c r="T65" s="34"/>
      <c r="U65" s="38"/>
      <c r="V65" s="38"/>
      <c r="W65" s="2"/>
      <c r="X65" s="2"/>
    </row>
    <row r="66" spans="1:24" x14ac:dyDescent="0.25">
      <c r="A66" s="5" t="s">
        <v>81</v>
      </c>
      <c r="B66" s="4">
        <v>36000000</v>
      </c>
      <c r="C66" s="4">
        <v>3000000</v>
      </c>
      <c r="D66" s="4">
        <v>0</v>
      </c>
      <c r="E66" s="4">
        <f t="shared" si="51"/>
        <v>3000000</v>
      </c>
      <c r="F66" s="4"/>
      <c r="G66" s="4"/>
      <c r="H66" s="4"/>
      <c r="I66" s="4"/>
      <c r="J66" s="4"/>
      <c r="K66" s="4"/>
      <c r="L66" s="4"/>
      <c r="M66" s="4"/>
      <c r="N66" s="4"/>
      <c r="O66" s="4"/>
      <c r="P66" s="4">
        <f t="shared" si="70"/>
        <v>3000000</v>
      </c>
      <c r="Q66" s="4">
        <f t="shared" si="71"/>
        <v>0</v>
      </c>
      <c r="R66" s="6">
        <f t="shared" si="72"/>
        <v>3000000</v>
      </c>
      <c r="S66" s="43">
        <f t="shared" si="73"/>
        <v>100</v>
      </c>
      <c r="T66" s="34"/>
      <c r="U66" s="38"/>
      <c r="V66" s="38"/>
      <c r="W66" s="2"/>
      <c r="X66" s="2"/>
    </row>
    <row r="67" spans="1:24" x14ac:dyDescent="0.25">
      <c r="A67" s="5" t="s">
        <v>93</v>
      </c>
      <c r="B67" s="4">
        <v>36000000</v>
      </c>
      <c r="C67" s="4">
        <v>1500000</v>
      </c>
      <c r="D67" s="4">
        <v>2126080</v>
      </c>
      <c r="E67" s="4">
        <f t="shared" si="51"/>
        <v>-626080</v>
      </c>
      <c r="F67" s="4"/>
      <c r="G67" s="4"/>
      <c r="H67" s="4"/>
      <c r="I67" s="4"/>
      <c r="J67" s="4"/>
      <c r="K67" s="4"/>
      <c r="L67" s="4"/>
      <c r="M67" s="4"/>
      <c r="N67" s="4"/>
      <c r="O67" s="4"/>
      <c r="P67" s="4">
        <f t="shared" ref="P67:P86" si="74">+C67</f>
        <v>1500000</v>
      </c>
      <c r="Q67" s="4">
        <f t="shared" ref="Q67:Q86" si="75">+D67</f>
        <v>2126080</v>
      </c>
      <c r="R67" s="6">
        <f t="shared" ref="R67:R86" si="76">+E67</f>
        <v>-626080</v>
      </c>
      <c r="S67" s="43">
        <f t="shared" si="73"/>
        <v>-41.738666666666667</v>
      </c>
      <c r="T67" s="34"/>
      <c r="U67" s="38"/>
      <c r="V67" s="38"/>
      <c r="W67" s="2"/>
      <c r="X67" s="2"/>
    </row>
    <row r="68" spans="1:24" x14ac:dyDescent="0.25">
      <c r="A68" s="5" t="s">
        <v>78</v>
      </c>
      <c r="B68" s="4">
        <v>4000000</v>
      </c>
      <c r="C68" s="4">
        <v>1500000</v>
      </c>
      <c r="D68" s="4">
        <v>7200</v>
      </c>
      <c r="E68" s="4">
        <f t="shared" si="51"/>
        <v>1492800</v>
      </c>
      <c r="F68" s="4"/>
      <c r="G68" s="4"/>
      <c r="H68" s="4"/>
      <c r="I68" s="4"/>
      <c r="J68" s="4"/>
      <c r="K68" s="4"/>
      <c r="L68" s="4"/>
      <c r="M68" s="4"/>
      <c r="N68" s="4"/>
      <c r="O68" s="4"/>
      <c r="P68" s="4">
        <f t="shared" si="74"/>
        <v>1500000</v>
      </c>
      <c r="Q68" s="4">
        <f t="shared" si="75"/>
        <v>7200</v>
      </c>
      <c r="R68" s="6">
        <f t="shared" si="76"/>
        <v>1492800</v>
      </c>
      <c r="S68" s="43">
        <f t="shared" si="73"/>
        <v>99.52</v>
      </c>
      <c r="T68" s="34"/>
      <c r="U68" s="38"/>
      <c r="V68" s="38"/>
      <c r="W68" s="2"/>
      <c r="X68" s="2"/>
    </row>
    <row r="69" spans="1:24" x14ac:dyDescent="0.25">
      <c r="A69" s="21" t="s">
        <v>79</v>
      </c>
      <c r="B69" s="4">
        <v>7000000</v>
      </c>
      <c r="C69" s="4">
        <v>0</v>
      </c>
      <c r="D69" s="4">
        <v>0</v>
      </c>
      <c r="E69" s="4">
        <f t="shared" si="51"/>
        <v>0</v>
      </c>
      <c r="F69" s="4"/>
      <c r="G69" s="4"/>
      <c r="H69" s="4"/>
      <c r="I69" s="4"/>
      <c r="J69" s="4"/>
      <c r="K69" s="4"/>
      <c r="L69" s="4"/>
      <c r="M69" s="4"/>
      <c r="N69" s="4"/>
      <c r="O69" s="4"/>
      <c r="P69" s="4">
        <f t="shared" si="74"/>
        <v>0</v>
      </c>
      <c r="Q69" s="4">
        <f t="shared" si="75"/>
        <v>0</v>
      </c>
      <c r="R69" s="6">
        <f t="shared" si="76"/>
        <v>0</v>
      </c>
      <c r="S69" s="43">
        <v>0</v>
      </c>
      <c r="T69" s="34"/>
      <c r="U69" s="38"/>
      <c r="V69" s="38"/>
      <c r="W69" s="2"/>
      <c r="X69" s="2"/>
    </row>
    <row r="70" spans="1:24" ht="30" x14ac:dyDescent="0.25">
      <c r="A70" s="21" t="s">
        <v>77</v>
      </c>
      <c r="B70" s="4">
        <v>7000000</v>
      </c>
      <c r="C70" s="4">
        <v>0</v>
      </c>
      <c r="D70" s="4">
        <v>0</v>
      </c>
      <c r="E70" s="4">
        <f t="shared" si="51"/>
        <v>0</v>
      </c>
      <c r="F70" s="4"/>
      <c r="G70" s="4"/>
      <c r="H70" s="4"/>
      <c r="I70" s="4"/>
      <c r="J70" s="4"/>
      <c r="K70" s="4"/>
      <c r="L70" s="4"/>
      <c r="M70" s="4"/>
      <c r="N70" s="4"/>
      <c r="O70" s="4"/>
      <c r="P70" s="4">
        <f t="shared" si="74"/>
        <v>0</v>
      </c>
      <c r="Q70" s="4">
        <f t="shared" si="75"/>
        <v>0</v>
      </c>
      <c r="R70" s="6">
        <f t="shared" si="76"/>
        <v>0</v>
      </c>
      <c r="S70" s="43">
        <v>0</v>
      </c>
      <c r="T70" s="34"/>
      <c r="U70" s="38"/>
      <c r="V70" s="38"/>
      <c r="W70" s="2"/>
      <c r="X70" s="2"/>
    </row>
    <row r="71" spans="1:24" ht="30" x14ac:dyDescent="0.25">
      <c r="A71" s="21" t="s">
        <v>80</v>
      </c>
      <c r="B71" s="4">
        <v>4000000</v>
      </c>
      <c r="C71" s="4">
        <v>0</v>
      </c>
      <c r="D71" s="4">
        <v>0</v>
      </c>
      <c r="E71" s="4">
        <f t="shared" si="51"/>
        <v>0</v>
      </c>
      <c r="F71" s="4"/>
      <c r="G71" s="4"/>
      <c r="H71" s="4"/>
      <c r="I71" s="4"/>
      <c r="J71" s="4"/>
      <c r="K71" s="4"/>
      <c r="L71" s="4"/>
      <c r="M71" s="4"/>
      <c r="N71" s="4"/>
      <c r="O71" s="4"/>
      <c r="P71" s="4">
        <f t="shared" si="74"/>
        <v>0</v>
      </c>
      <c r="Q71" s="4">
        <f t="shared" si="75"/>
        <v>0</v>
      </c>
      <c r="R71" s="6">
        <f t="shared" si="76"/>
        <v>0</v>
      </c>
      <c r="S71" s="43">
        <v>0</v>
      </c>
      <c r="T71" s="34"/>
      <c r="U71" s="38"/>
      <c r="V71" s="38"/>
      <c r="W71" s="2"/>
      <c r="X71" s="2"/>
    </row>
    <row r="72" spans="1:24" x14ac:dyDescent="0.25">
      <c r="A72" s="21" t="s">
        <v>70</v>
      </c>
      <c r="B72" s="4">
        <v>64800000</v>
      </c>
      <c r="C72" s="4">
        <v>5400000</v>
      </c>
      <c r="D72" s="4">
        <v>5451000</v>
      </c>
      <c r="E72" s="4">
        <f t="shared" si="51"/>
        <v>-51000</v>
      </c>
      <c r="F72" s="4"/>
      <c r="G72" s="4"/>
      <c r="H72" s="4"/>
      <c r="I72" s="4"/>
      <c r="J72" s="4"/>
      <c r="K72" s="4"/>
      <c r="L72" s="4"/>
      <c r="M72" s="4"/>
      <c r="N72" s="4"/>
      <c r="O72" s="4"/>
      <c r="P72" s="4">
        <f t="shared" si="74"/>
        <v>5400000</v>
      </c>
      <c r="Q72" s="4">
        <f t="shared" si="75"/>
        <v>5451000</v>
      </c>
      <c r="R72" s="6">
        <f t="shared" si="76"/>
        <v>-51000</v>
      </c>
      <c r="S72" s="43">
        <f t="shared" si="73"/>
        <v>-0.94444444444444442</v>
      </c>
      <c r="T72" s="34"/>
      <c r="U72" s="38"/>
      <c r="V72" s="38"/>
      <c r="W72" s="2"/>
      <c r="X72" s="2"/>
    </row>
    <row r="73" spans="1:24" ht="30" x14ac:dyDescent="0.25">
      <c r="A73" s="21" t="s">
        <v>33</v>
      </c>
      <c r="B73" s="4">
        <v>27600000</v>
      </c>
      <c r="C73" s="4">
        <v>2300000</v>
      </c>
      <c r="D73" s="4">
        <v>0</v>
      </c>
      <c r="E73" s="4">
        <f t="shared" si="51"/>
        <v>2300000</v>
      </c>
      <c r="F73" s="4"/>
      <c r="G73" s="4"/>
      <c r="H73" s="4"/>
      <c r="I73" s="4"/>
      <c r="J73" s="4"/>
      <c r="K73" s="4"/>
      <c r="L73" s="4"/>
      <c r="M73" s="4"/>
      <c r="N73" s="4"/>
      <c r="O73" s="4"/>
      <c r="P73" s="4">
        <f t="shared" si="74"/>
        <v>2300000</v>
      </c>
      <c r="Q73" s="4">
        <f t="shared" si="75"/>
        <v>0</v>
      </c>
      <c r="R73" s="6">
        <f t="shared" si="76"/>
        <v>2300000</v>
      </c>
      <c r="S73" s="43">
        <f t="shared" si="73"/>
        <v>100</v>
      </c>
      <c r="T73" s="34"/>
      <c r="U73" s="38"/>
      <c r="V73" s="38"/>
      <c r="W73" s="2"/>
      <c r="X73" s="2"/>
    </row>
    <row r="74" spans="1:24" x14ac:dyDescent="0.25">
      <c r="A74" s="5" t="s">
        <v>75</v>
      </c>
      <c r="B74" s="4">
        <v>36000000</v>
      </c>
      <c r="C74" s="4">
        <v>3000000</v>
      </c>
      <c r="D74" s="4">
        <v>0</v>
      </c>
      <c r="E74" s="4">
        <f t="shared" si="51"/>
        <v>3000000</v>
      </c>
      <c r="F74" s="4"/>
      <c r="G74" s="4"/>
      <c r="H74" s="4"/>
      <c r="I74" s="4"/>
      <c r="J74" s="4"/>
      <c r="K74" s="4"/>
      <c r="L74" s="4"/>
      <c r="M74" s="4"/>
      <c r="N74" s="4"/>
      <c r="O74" s="4"/>
      <c r="P74" s="4">
        <f t="shared" si="74"/>
        <v>3000000</v>
      </c>
      <c r="Q74" s="4">
        <f t="shared" si="75"/>
        <v>0</v>
      </c>
      <c r="R74" s="6">
        <f t="shared" si="76"/>
        <v>3000000</v>
      </c>
      <c r="S74" s="43">
        <f t="shared" si="73"/>
        <v>100</v>
      </c>
      <c r="T74" s="34"/>
      <c r="U74" s="38"/>
      <c r="V74" s="38"/>
      <c r="W74" s="2"/>
      <c r="X74" s="2"/>
    </row>
    <row r="75" spans="1:24" x14ac:dyDescent="0.25">
      <c r="A75" s="5" t="s">
        <v>87</v>
      </c>
      <c r="B75" s="4">
        <v>18823282</v>
      </c>
      <c r="C75" s="4">
        <v>224000</v>
      </c>
      <c r="D75" s="4">
        <v>0</v>
      </c>
      <c r="E75" s="4">
        <f t="shared" si="51"/>
        <v>224000</v>
      </c>
      <c r="F75" s="4"/>
      <c r="G75" s="4"/>
      <c r="H75" s="4"/>
      <c r="I75" s="4"/>
      <c r="J75" s="4"/>
      <c r="K75" s="4"/>
      <c r="L75" s="4"/>
      <c r="M75" s="4"/>
      <c r="N75" s="4"/>
      <c r="O75" s="4"/>
      <c r="P75" s="4">
        <f t="shared" si="74"/>
        <v>224000</v>
      </c>
      <c r="Q75" s="4">
        <f t="shared" si="75"/>
        <v>0</v>
      </c>
      <c r="R75" s="6">
        <f t="shared" si="76"/>
        <v>224000</v>
      </c>
      <c r="S75" s="43">
        <f t="shared" si="73"/>
        <v>100</v>
      </c>
      <c r="T75" s="34"/>
      <c r="U75" s="38"/>
      <c r="V75" s="38"/>
      <c r="W75" s="2"/>
      <c r="X75" s="2"/>
    </row>
    <row r="76" spans="1:24" x14ac:dyDescent="0.25">
      <c r="A76" s="5" t="s">
        <v>68</v>
      </c>
      <c r="B76" s="4">
        <v>14400000</v>
      </c>
      <c r="C76" s="4">
        <v>1200000</v>
      </c>
      <c r="D76" s="4">
        <v>4473800</v>
      </c>
      <c r="E76" s="4">
        <f t="shared" si="51"/>
        <v>-3273800</v>
      </c>
      <c r="F76" s="4"/>
      <c r="G76" s="4"/>
      <c r="H76" s="4"/>
      <c r="I76" s="4"/>
      <c r="J76" s="4"/>
      <c r="K76" s="4"/>
      <c r="L76" s="4"/>
      <c r="M76" s="4"/>
      <c r="N76" s="4"/>
      <c r="O76" s="4"/>
      <c r="P76" s="4">
        <f t="shared" si="74"/>
        <v>1200000</v>
      </c>
      <c r="Q76" s="4">
        <f t="shared" si="75"/>
        <v>4473800</v>
      </c>
      <c r="R76" s="6">
        <f t="shared" si="76"/>
        <v>-3273800</v>
      </c>
      <c r="S76" s="43">
        <f t="shared" si="73"/>
        <v>-272.81666666666666</v>
      </c>
      <c r="T76" s="34"/>
      <c r="U76" s="38"/>
      <c r="V76" s="38"/>
      <c r="W76" s="2"/>
      <c r="X76" s="2"/>
    </row>
    <row r="77" spans="1:24" x14ac:dyDescent="0.25">
      <c r="A77" s="21" t="s">
        <v>67</v>
      </c>
      <c r="B77" s="4">
        <v>7798000</v>
      </c>
      <c r="C77" s="4">
        <v>519000</v>
      </c>
      <c r="D77" s="4">
        <v>0</v>
      </c>
      <c r="E77" s="4">
        <f t="shared" si="51"/>
        <v>519000</v>
      </c>
      <c r="F77" s="4"/>
      <c r="G77" s="4"/>
      <c r="H77" s="4"/>
      <c r="I77" s="4"/>
      <c r="J77" s="4"/>
      <c r="K77" s="4"/>
      <c r="L77" s="4"/>
      <c r="M77" s="4"/>
      <c r="N77" s="4"/>
      <c r="O77" s="4"/>
      <c r="P77" s="4">
        <f t="shared" si="74"/>
        <v>519000</v>
      </c>
      <c r="Q77" s="4">
        <f t="shared" si="75"/>
        <v>0</v>
      </c>
      <c r="R77" s="6">
        <f t="shared" si="76"/>
        <v>519000</v>
      </c>
      <c r="S77" s="43">
        <f t="shared" si="73"/>
        <v>100</v>
      </c>
      <c r="T77" s="34"/>
      <c r="U77" s="38"/>
      <c r="V77" s="38"/>
      <c r="W77" s="2"/>
      <c r="X77" s="2"/>
    </row>
    <row r="78" spans="1:24" x14ac:dyDescent="0.25">
      <c r="A78" s="21" t="s">
        <v>86</v>
      </c>
      <c r="B78" s="4">
        <v>54736747</v>
      </c>
      <c r="C78" s="4">
        <v>5061458.5192123605</v>
      </c>
      <c r="D78" s="4">
        <v>1210918</v>
      </c>
      <c r="E78" s="4">
        <f t="shared" si="51"/>
        <v>3850540.5192123605</v>
      </c>
      <c r="F78" s="4"/>
      <c r="G78" s="4"/>
      <c r="H78" s="4"/>
      <c r="I78" s="4"/>
      <c r="J78" s="4"/>
      <c r="K78" s="4"/>
      <c r="L78" s="4"/>
      <c r="M78" s="4"/>
      <c r="N78" s="4"/>
      <c r="O78" s="4"/>
      <c r="P78" s="4">
        <f t="shared" si="74"/>
        <v>5061458.5192123605</v>
      </c>
      <c r="Q78" s="4">
        <f t="shared" si="75"/>
        <v>1210918</v>
      </c>
      <c r="R78" s="6">
        <f t="shared" si="76"/>
        <v>3850540.5192123605</v>
      </c>
      <c r="S78" s="43">
        <f t="shared" si="73"/>
        <v>76.075710283832635</v>
      </c>
      <c r="T78" s="34"/>
      <c r="U78" s="38"/>
      <c r="V78" s="38"/>
      <c r="W78" s="2"/>
      <c r="X78" s="2"/>
    </row>
    <row r="79" spans="1:24" x14ac:dyDescent="0.25">
      <c r="A79" s="5" t="s">
        <v>108</v>
      </c>
      <c r="B79" s="4">
        <v>36000000</v>
      </c>
      <c r="C79" s="4">
        <v>3000000</v>
      </c>
      <c r="D79" s="4">
        <v>0</v>
      </c>
      <c r="E79" s="4">
        <f t="shared" si="51"/>
        <v>3000000</v>
      </c>
      <c r="F79" s="4"/>
      <c r="G79" s="4"/>
      <c r="H79" s="4"/>
      <c r="I79" s="4"/>
      <c r="J79" s="4"/>
      <c r="K79" s="4"/>
      <c r="L79" s="4"/>
      <c r="M79" s="4"/>
      <c r="N79" s="4"/>
      <c r="O79" s="4"/>
      <c r="P79" s="4">
        <f t="shared" si="74"/>
        <v>3000000</v>
      </c>
      <c r="Q79" s="4">
        <f t="shared" si="75"/>
        <v>0</v>
      </c>
      <c r="R79" s="6">
        <f t="shared" si="76"/>
        <v>3000000</v>
      </c>
      <c r="S79" s="43">
        <f t="shared" si="73"/>
        <v>100</v>
      </c>
      <c r="T79" s="34"/>
      <c r="U79" s="38"/>
      <c r="V79" s="38"/>
      <c r="W79" s="2"/>
      <c r="X79" s="2"/>
    </row>
    <row r="80" spans="1:24" x14ac:dyDescent="0.25">
      <c r="A80" s="5" t="s">
        <v>76</v>
      </c>
      <c r="B80" s="4">
        <v>15000000</v>
      </c>
      <c r="C80" s="4">
        <v>0</v>
      </c>
      <c r="D80" s="4">
        <v>0</v>
      </c>
      <c r="E80" s="4">
        <f t="shared" si="51"/>
        <v>0</v>
      </c>
      <c r="F80" s="4"/>
      <c r="G80" s="4"/>
      <c r="H80" s="4"/>
      <c r="I80" s="4"/>
      <c r="J80" s="4"/>
      <c r="K80" s="4"/>
      <c r="L80" s="4"/>
      <c r="M80" s="4"/>
      <c r="N80" s="4"/>
      <c r="O80" s="4"/>
      <c r="P80" s="4">
        <f t="shared" si="74"/>
        <v>0</v>
      </c>
      <c r="Q80" s="4">
        <f t="shared" si="75"/>
        <v>0</v>
      </c>
      <c r="R80" s="6">
        <f t="shared" si="76"/>
        <v>0</v>
      </c>
      <c r="S80" s="43">
        <v>0</v>
      </c>
      <c r="T80" s="34"/>
      <c r="U80" s="38"/>
      <c r="V80" s="38"/>
      <c r="W80" s="2"/>
      <c r="X80" s="2"/>
    </row>
    <row r="81" spans="1:27" x14ac:dyDescent="0.25">
      <c r="A81" s="5" t="s">
        <v>61</v>
      </c>
      <c r="B81" s="4">
        <v>12000000</v>
      </c>
      <c r="C81" s="4">
        <v>0</v>
      </c>
      <c r="D81" s="4">
        <v>0</v>
      </c>
      <c r="E81" s="4">
        <f t="shared" si="51"/>
        <v>0</v>
      </c>
      <c r="F81" s="4"/>
      <c r="G81" s="4"/>
      <c r="H81" s="4"/>
      <c r="I81" s="4"/>
      <c r="J81" s="4"/>
      <c r="K81" s="4"/>
      <c r="L81" s="4"/>
      <c r="M81" s="4"/>
      <c r="N81" s="4"/>
      <c r="O81" s="4"/>
      <c r="P81" s="4">
        <f t="shared" si="74"/>
        <v>0</v>
      </c>
      <c r="Q81" s="4">
        <f t="shared" si="75"/>
        <v>0</v>
      </c>
      <c r="R81" s="6">
        <f t="shared" si="76"/>
        <v>0</v>
      </c>
      <c r="S81" s="43">
        <v>0</v>
      </c>
      <c r="T81" s="34"/>
      <c r="U81" s="38"/>
      <c r="V81" s="38"/>
      <c r="W81" s="2"/>
      <c r="X81" s="2"/>
    </row>
    <row r="82" spans="1:27" hidden="1" x14ac:dyDescent="0.25">
      <c r="A82" s="5" t="s">
        <v>34</v>
      </c>
      <c r="B82" s="4"/>
      <c r="C82" s="4"/>
      <c r="D82" s="4"/>
      <c r="E82" s="4">
        <f t="shared" si="51"/>
        <v>0</v>
      </c>
      <c r="F82" s="4"/>
      <c r="G82" s="4"/>
      <c r="H82" s="4"/>
      <c r="I82" s="4"/>
      <c r="J82" s="4"/>
      <c r="K82" s="4"/>
      <c r="L82" s="4"/>
      <c r="M82" s="4"/>
      <c r="N82" s="4"/>
      <c r="O82" s="4"/>
      <c r="P82" s="4">
        <f t="shared" si="74"/>
        <v>0</v>
      </c>
      <c r="Q82" s="4">
        <f t="shared" si="75"/>
        <v>0</v>
      </c>
      <c r="R82" s="6">
        <f t="shared" si="76"/>
        <v>0</v>
      </c>
      <c r="S82" s="43" t="e">
        <f t="shared" si="73"/>
        <v>#DIV/0!</v>
      </c>
      <c r="T82" s="34"/>
      <c r="U82" s="38"/>
      <c r="V82" s="38"/>
      <c r="W82" s="2"/>
      <c r="X82" s="2"/>
    </row>
    <row r="83" spans="1:27" x14ac:dyDescent="0.25">
      <c r="A83" s="5" t="s">
        <v>83</v>
      </c>
      <c r="B83" s="4">
        <v>26000000</v>
      </c>
      <c r="C83" s="4">
        <v>2000000</v>
      </c>
      <c r="D83" s="4">
        <v>0</v>
      </c>
      <c r="E83" s="4">
        <f t="shared" si="51"/>
        <v>2000000</v>
      </c>
      <c r="F83" s="4"/>
      <c r="G83" s="4"/>
      <c r="H83" s="4"/>
      <c r="I83" s="4"/>
      <c r="J83" s="4"/>
      <c r="K83" s="4"/>
      <c r="L83" s="4"/>
      <c r="M83" s="4"/>
      <c r="N83" s="4"/>
      <c r="O83" s="4"/>
      <c r="P83" s="4">
        <f t="shared" si="74"/>
        <v>2000000</v>
      </c>
      <c r="Q83" s="4">
        <f t="shared" si="75"/>
        <v>0</v>
      </c>
      <c r="R83" s="6">
        <f t="shared" si="76"/>
        <v>2000000</v>
      </c>
      <c r="S83" s="43">
        <f t="shared" si="73"/>
        <v>100</v>
      </c>
      <c r="T83" s="34"/>
      <c r="U83" s="38"/>
      <c r="V83" s="38"/>
      <c r="W83" s="2"/>
      <c r="X83" s="2"/>
    </row>
    <row r="84" spans="1:27" hidden="1" x14ac:dyDescent="0.25">
      <c r="A84" s="5" t="s">
        <v>56</v>
      </c>
      <c r="B84" s="4"/>
      <c r="C84" s="4"/>
      <c r="D84" s="4"/>
      <c r="E84" s="4">
        <f t="shared" si="51"/>
        <v>0</v>
      </c>
      <c r="F84" s="4"/>
      <c r="G84" s="4"/>
      <c r="H84" s="4"/>
      <c r="I84" s="4"/>
      <c r="J84" s="4"/>
      <c r="K84" s="4"/>
      <c r="L84" s="4"/>
      <c r="M84" s="4"/>
      <c r="N84" s="4"/>
      <c r="O84" s="4"/>
      <c r="P84" s="4">
        <f t="shared" si="74"/>
        <v>0</v>
      </c>
      <c r="Q84" s="4">
        <f t="shared" si="75"/>
        <v>0</v>
      </c>
      <c r="R84" s="6">
        <f t="shared" si="76"/>
        <v>0</v>
      </c>
      <c r="S84" s="43" t="e">
        <f t="shared" si="73"/>
        <v>#DIV/0!</v>
      </c>
      <c r="T84" s="34"/>
      <c r="U84" s="38"/>
      <c r="V84" s="38"/>
      <c r="W84" s="2"/>
      <c r="X84" s="2"/>
    </row>
    <row r="85" spans="1:27" x14ac:dyDescent="0.25">
      <c r="A85" s="5" t="s">
        <v>38</v>
      </c>
      <c r="B85" s="4">
        <v>25200000</v>
      </c>
      <c r="C85" s="4">
        <v>2100000</v>
      </c>
      <c r="D85" s="4">
        <v>2320000</v>
      </c>
      <c r="E85" s="4">
        <f t="shared" si="51"/>
        <v>-220000</v>
      </c>
      <c r="F85" s="4"/>
      <c r="G85" s="4"/>
      <c r="H85" s="4"/>
      <c r="I85" s="4"/>
      <c r="J85" s="4"/>
      <c r="K85" s="4"/>
      <c r="L85" s="4"/>
      <c r="M85" s="4"/>
      <c r="N85" s="4"/>
      <c r="O85" s="4"/>
      <c r="P85" s="4">
        <f t="shared" si="74"/>
        <v>2100000</v>
      </c>
      <c r="Q85" s="4">
        <f t="shared" si="75"/>
        <v>2320000</v>
      </c>
      <c r="R85" s="6">
        <f t="shared" si="76"/>
        <v>-220000</v>
      </c>
      <c r="S85" s="43">
        <f t="shared" si="73"/>
        <v>-10.476190476190476</v>
      </c>
      <c r="T85" s="34"/>
      <c r="U85" s="38"/>
      <c r="V85" s="38"/>
      <c r="W85" s="2"/>
      <c r="X85" s="2"/>
    </row>
    <row r="86" spans="1:27" x14ac:dyDescent="0.25">
      <c r="A86" s="5" t="s">
        <v>39</v>
      </c>
      <c r="B86" s="4">
        <v>709140000</v>
      </c>
      <c r="C86" s="4">
        <v>59095000</v>
      </c>
      <c r="D86" s="4">
        <v>53576000</v>
      </c>
      <c r="E86" s="4">
        <f t="shared" si="51"/>
        <v>5519000</v>
      </c>
      <c r="F86" s="4"/>
      <c r="G86" s="4"/>
      <c r="H86" s="4"/>
      <c r="I86" s="4"/>
      <c r="J86" s="4"/>
      <c r="K86" s="4"/>
      <c r="L86" s="4"/>
      <c r="M86" s="4"/>
      <c r="N86" s="4"/>
      <c r="O86" s="4"/>
      <c r="P86" s="4">
        <f t="shared" si="74"/>
        <v>59095000</v>
      </c>
      <c r="Q86" s="4">
        <f t="shared" si="75"/>
        <v>53576000</v>
      </c>
      <c r="R86" s="6">
        <f t="shared" si="76"/>
        <v>5519000</v>
      </c>
      <c r="S86" s="43">
        <f t="shared" si="73"/>
        <v>9.3391995938742696</v>
      </c>
      <c r="T86" s="34"/>
      <c r="U86" s="38"/>
      <c r="V86" s="38"/>
      <c r="W86" s="2"/>
      <c r="X86" s="2"/>
    </row>
    <row r="87" spans="1:27" x14ac:dyDescent="0.25">
      <c r="A87" s="12" t="s">
        <v>53</v>
      </c>
      <c r="B87" s="8">
        <f>SUM(B35:B86)</f>
        <v>2441516142</v>
      </c>
      <c r="C87" s="8">
        <f t="shared" ref="C87" si="77">SUM(C35:C86)</f>
        <v>179785359.61327934</v>
      </c>
      <c r="D87" s="8">
        <f t="shared" ref="D87:E87" si="78">SUM(D35:D86)</f>
        <v>131905273</v>
      </c>
      <c r="E87" s="8">
        <f t="shared" si="78"/>
        <v>47880086.61327935</v>
      </c>
      <c r="F87" s="8">
        <f t="shared" ref="F87:R87" si="79">SUM(F35:F86)</f>
        <v>0</v>
      </c>
      <c r="G87" s="8">
        <f t="shared" si="79"/>
        <v>0</v>
      </c>
      <c r="H87" s="8">
        <f t="shared" si="79"/>
        <v>0</v>
      </c>
      <c r="I87" s="8">
        <f t="shared" si="79"/>
        <v>0</v>
      </c>
      <c r="J87" s="8">
        <f t="shared" si="79"/>
        <v>0</v>
      </c>
      <c r="K87" s="8">
        <f t="shared" si="79"/>
        <v>0</v>
      </c>
      <c r="L87" s="8">
        <f t="shared" si="79"/>
        <v>0</v>
      </c>
      <c r="M87" s="8">
        <f t="shared" si="79"/>
        <v>0</v>
      </c>
      <c r="N87" s="8">
        <f t="shared" si="79"/>
        <v>0</v>
      </c>
      <c r="O87" s="8">
        <f t="shared" si="79"/>
        <v>0</v>
      </c>
      <c r="P87" s="8">
        <f t="shared" si="79"/>
        <v>179785359.61327934</v>
      </c>
      <c r="Q87" s="8">
        <f t="shared" si="79"/>
        <v>131905273</v>
      </c>
      <c r="R87" s="8">
        <f t="shared" si="79"/>
        <v>47880086.61327935</v>
      </c>
      <c r="S87" s="31">
        <f>+R87/P87</f>
        <v>0.26631805123770946</v>
      </c>
      <c r="T87" s="34"/>
      <c r="U87" s="39"/>
      <c r="V87" s="39"/>
      <c r="W87" s="2"/>
      <c r="X87" s="2"/>
      <c r="Z87" s="2"/>
    </row>
    <row r="88" spans="1:27" s="1" customFormat="1" x14ac:dyDescent="0.25">
      <c r="A88" s="12" t="s">
        <v>62</v>
      </c>
      <c r="B88" s="15">
        <f>+B87+B34+B24</f>
        <v>23298301636</v>
      </c>
      <c r="C88" s="15">
        <f>+C87+C34+C24</f>
        <v>1203981993.2146487</v>
      </c>
      <c r="D88" s="15">
        <f t="shared" ref="D88:E88" si="80">+D87+D34+D24</f>
        <v>334717391.36000001</v>
      </c>
      <c r="E88" s="15">
        <f t="shared" si="80"/>
        <v>869264601.85464871</v>
      </c>
      <c r="F88" s="15">
        <f t="shared" ref="F88" si="81">+F87+F34+F24</f>
        <v>0</v>
      </c>
      <c r="G88" s="15">
        <f t="shared" ref="G88" si="82">+G87+G34+G24</f>
        <v>0</v>
      </c>
      <c r="H88" s="15">
        <f t="shared" ref="H88" si="83">+H87+H34+H24</f>
        <v>0</v>
      </c>
      <c r="I88" s="15">
        <f t="shared" ref="I88" si="84">+I87+I34+I24</f>
        <v>0</v>
      </c>
      <c r="J88" s="15">
        <f t="shared" ref="J88" si="85">+J87+J34+J24</f>
        <v>0</v>
      </c>
      <c r="K88" s="15">
        <f t="shared" ref="K88" si="86">+K87+K34+K24</f>
        <v>0</v>
      </c>
      <c r="L88" s="15">
        <f t="shared" ref="L88" si="87">+L87+L34+L24</f>
        <v>0</v>
      </c>
      <c r="M88" s="15">
        <f t="shared" ref="M88" si="88">+M87+M34+M24</f>
        <v>0</v>
      </c>
      <c r="N88" s="15">
        <f t="shared" ref="N88" si="89">+N87+N34+N24</f>
        <v>0</v>
      </c>
      <c r="O88" s="15">
        <f t="shared" ref="O88" si="90">+O87+O34+O24</f>
        <v>0</v>
      </c>
      <c r="P88" s="15">
        <f t="shared" ref="P88" si="91">+P87+P34+P24</f>
        <v>1203981993.2146487</v>
      </c>
      <c r="Q88" s="15">
        <f t="shared" ref="Q88" si="92">+Q87+Q34+Q24</f>
        <v>334717391.36000001</v>
      </c>
      <c r="R88" s="15">
        <f t="shared" ref="R88" si="93">+R87+R34+R24</f>
        <v>869264601.85464871</v>
      </c>
      <c r="S88" s="31">
        <f t="shared" ref="S88" si="94">+R88/P88</f>
        <v>0.72199136428419508</v>
      </c>
      <c r="T88" s="34"/>
      <c r="U88" s="40"/>
      <c r="V88" s="40"/>
      <c r="W88" s="2"/>
      <c r="X88" s="2"/>
    </row>
    <row r="89" spans="1:27" ht="19.5" thickBot="1" x14ac:dyDescent="0.3">
      <c r="A89" s="13" t="s">
        <v>0</v>
      </c>
      <c r="B89" s="9">
        <f>+B12-B88</f>
        <v>-18864299629.952744</v>
      </c>
      <c r="C89" s="9">
        <f>+C12-C88</f>
        <v>-822989643.21464872</v>
      </c>
      <c r="D89" s="9">
        <f t="shared" ref="D89:E89" si="95">+D12-D88</f>
        <v>-299698994.05000001</v>
      </c>
      <c r="E89" s="9">
        <f t="shared" si="95"/>
        <v>-523290649.16464871</v>
      </c>
      <c r="F89" s="9">
        <f t="shared" ref="F89" si="96">+F12-F88</f>
        <v>0</v>
      </c>
      <c r="G89" s="9">
        <f t="shared" ref="G89" si="97">+G12-G88</f>
        <v>0</v>
      </c>
      <c r="H89" s="9">
        <f t="shared" ref="H89" si="98">+H12-H88</f>
        <v>0</v>
      </c>
      <c r="I89" s="9">
        <f t="shared" ref="I89" si="99">+I12-I88</f>
        <v>0</v>
      </c>
      <c r="J89" s="9">
        <f t="shared" ref="J89" si="100">+J12-J88</f>
        <v>0</v>
      </c>
      <c r="K89" s="9">
        <f t="shared" ref="K89" si="101">+K12-K88</f>
        <v>0</v>
      </c>
      <c r="L89" s="9">
        <f t="shared" ref="L89" si="102">+L12-L88</f>
        <v>0</v>
      </c>
      <c r="M89" s="9">
        <f t="shared" ref="M89" si="103">+M12-M88</f>
        <v>0</v>
      </c>
      <c r="N89" s="9">
        <f t="shared" ref="N89" si="104">+N12-N88</f>
        <v>0</v>
      </c>
      <c r="O89" s="9">
        <f t="shared" ref="O89" si="105">+O12-O88</f>
        <v>0</v>
      </c>
      <c r="P89" s="9">
        <f t="shared" ref="P89" si="106">+P12-P88</f>
        <v>-822989643.21464872</v>
      </c>
      <c r="Q89" s="9">
        <f t="shared" ref="Q89" si="107">+Q12-Q88</f>
        <v>-299698994.05000001</v>
      </c>
      <c r="R89" s="9">
        <f t="shared" ref="R89" si="108">+R12-R88</f>
        <v>-523290649.16464871</v>
      </c>
      <c r="S89" s="32">
        <f>+R89/P89</f>
        <v>0.63584111109909347</v>
      </c>
      <c r="T89" s="34"/>
      <c r="U89" s="41"/>
      <c r="V89" s="41"/>
      <c r="W89" s="2"/>
      <c r="X89" s="2"/>
    </row>
    <row r="90" spans="1:27" x14ac:dyDescent="0.25">
      <c r="D90" s="2"/>
      <c r="F90" s="2"/>
      <c r="I90" s="2"/>
      <c r="K90" s="2"/>
      <c r="L90" s="2"/>
      <c r="M90" s="2"/>
      <c r="N90" s="2"/>
      <c r="X90" s="2"/>
    </row>
    <row r="91" spans="1:27" x14ac:dyDescent="0.25">
      <c r="F91" s="2" t="s">
        <v>59</v>
      </c>
      <c r="I91" s="2"/>
      <c r="K91" s="2"/>
      <c r="R91" s="2"/>
      <c r="U91" s="2"/>
      <c r="X91" s="2" t="e">
        <f>+#REF!</f>
        <v>#REF!</v>
      </c>
      <c r="Y91" s="20"/>
      <c r="AA91" s="2"/>
    </row>
    <row r="92" spans="1:27" x14ac:dyDescent="0.25">
      <c r="B92" s="2"/>
      <c r="F92" s="2"/>
      <c r="I92" s="2"/>
      <c r="K92" s="2"/>
      <c r="X92" s="2">
        <f>815000000*1.07</f>
        <v>872050000</v>
      </c>
      <c r="Y92" s="20"/>
      <c r="AA92" s="2"/>
    </row>
    <row r="93" spans="1:27" x14ac:dyDescent="0.25">
      <c r="B93" s="2"/>
      <c r="K93" s="2"/>
      <c r="R93" s="3"/>
      <c r="U93" s="2"/>
      <c r="X93" s="2">
        <v>-1173139539</v>
      </c>
      <c r="Y93" s="20"/>
    </row>
    <row r="94" spans="1:27" x14ac:dyDescent="0.25">
      <c r="K94" s="2"/>
      <c r="R94" s="2"/>
      <c r="X94" s="2">
        <v>-272818809</v>
      </c>
      <c r="Y94" s="20">
        <v>371527244</v>
      </c>
      <c r="Z94" s="2">
        <f>+Y94+X94</f>
        <v>98708435</v>
      </c>
    </row>
    <row r="95" spans="1:27" x14ac:dyDescent="0.25">
      <c r="B95" s="2"/>
      <c r="K95" s="2"/>
      <c r="R95" s="2"/>
      <c r="X95" s="2">
        <f>-(2000000-1920114)*12</f>
        <v>-958632</v>
      </c>
      <c r="Y95" s="2"/>
    </row>
    <row r="96" spans="1:27" x14ac:dyDescent="0.25">
      <c r="D96" s="2">
        <f>+D13+D21+D25+D35+D36</f>
        <v>224928906.36000001</v>
      </c>
      <c r="E96" s="2"/>
      <c r="K96" s="2"/>
      <c r="R96" s="3"/>
      <c r="X96" s="2">
        <v>-49700000</v>
      </c>
      <c r="Y96" s="2"/>
    </row>
    <row r="97" spans="3:24" x14ac:dyDescent="0.25">
      <c r="C97" s="3"/>
      <c r="D97" s="3"/>
      <c r="E97" s="42"/>
      <c r="R97" s="24"/>
      <c r="X97" s="2">
        <f>-R33</f>
        <v>0</v>
      </c>
    </row>
    <row r="98" spans="3:24" x14ac:dyDescent="0.25">
      <c r="D98" s="2">
        <f>198741666-D96</f>
        <v>-26187240.360000014</v>
      </c>
      <c r="X98" s="2">
        <f>-R81</f>
        <v>0</v>
      </c>
    </row>
    <row r="99" spans="3:24" x14ac:dyDescent="0.25">
      <c r="D99">
        <f>+[9]EjecucionPptalPasiva!$S$11</f>
        <v>308530151</v>
      </c>
      <c r="X99" s="2">
        <f>+W23</f>
        <v>0</v>
      </c>
    </row>
    <row r="100" spans="3:24" x14ac:dyDescent="0.25">
      <c r="D100" s="2">
        <f>+D99-D88</f>
        <v>-26187240.360000014</v>
      </c>
      <c r="X100" s="2" t="e">
        <f>SUM(X91:X99)</f>
        <v>#REF!</v>
      </c>
    </row>
    <row r="101" spans="3:24" x14ac:dyDescent="0.25">
      <c r="X101" s="2" t="e">
        <f>+X100-R89</f>
        <v>#REF!</v>
      </c>
    </row>
  </sheetData>
  <autoFilter ref="A5:S89" xr:uid="{4C861BE8-7E5D-4966-A65F-7599F5FEBCAA}"/>
  <mergeCells count="4">
    <mergeCell ref="A1:C1"/>
    <mergeCell ref="A3:S3"/>
    <mergeCell ref="P4:S4"/>
    <mergeCell ref="C4:E4"/>
  </mergeCells>
  <pageMargins left="0.59055118110236227" right="0.39370078740157483" top="0.39370078740157483" bottom="0.59055118110236227" header="0.31496062992125984" footer="0.31496062992125984"/>
  <pageSetup scale="7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34B6F753C52164FB1D554AAB843CFC0" ma:contentTypeVersion="13" ma:contentTypeDescription="Crear nuevo documento." ma:contentTypeScope="" ma:versionID="fdd9a5179c0726be441dcaf29a862f93">
  <xsd:schema xmlns:xsd="http://www.w3.org/2001/XMLSchema" xmlns:xs="http://www.w3.org/2001/XMLSchema" xmlns:p="http://schemas.microsoft.com/office/2006/metadata/properties" xmlns:ns3="da22d1dd-5ebb-4fec-87c6-eff43ee1d269" xmlns:ns4="ad235908-71e9-4a93-8573-0051611839c1" targetNamespace="http://schemas.microsoft.com/office/2006/metadata/properties" ma:root="true" ma:fieldsID="80590b0a36ee7e8bc739f60b0312d037" ns3:_="" ns4:_="">
    <xsd:import namespace="da22d1dd-5ebb-4fec-87c6-eff43ee1d269"/>
    <xsd:import namespace="ad235908-71e9-4a93-8573-0051611839c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CR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22d1dd-5ebb-4fec-87c6-eff43ee1d2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235908-71e9-4a93-8573-0051611839c1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3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A7B3523-AB61-47C1-90C2-93D428F47119}">
  <ds:schemaRefs>
    <ds:schemaRef ds:uri="http://schemas.microsoft.com/office/2006/metadata/properties"/>
    <ds:schemaRef ds:uri="ad235908-71e9-4a93-8573-0051611839c1"/>
    <ds:schemaRef ds:uri="http://www.w3.org/XML/1998/namespace"/>
    <ds:schemaRef ds:uri="http://schemas.microsoft.com/office/2006/documentManagement/types"/>
    <ds:schemaRef ds:uri="da22d1dd-5ebb-4fec-87c6-eff43ee1d269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dcmitype/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8D96E7D1-AF9D-4C74-8F4E-A820F59BCE2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a22d1dd-5ebb-4fec-87c6-eff43ee1d269"/>
    <ds:schemaRef ds:uri="ad235908-71e9-4a93-8573-0051611839c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133DCCC-C4EA-4FBF-B0EF-41F66EE5CCC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8</vt:i4>
      </vt:variant>
    </vt:vector>
  </HeadingPairs>
  <TitlesOfParts>
    <vt:vector size="12" baseType="lpstr">
      <vt:lpstr>202302M</vt:lpstr>
      <vt:lpstr>202401anual</vt:lpstr>
      <vt:lpstr>2024Ej</vt:lpstr>
      <vt:lpstr>202301</vt:lpstr>
      <vt:lpstr>'202301'!Área_de_impresión</vt:lpstr>
      <vt:lpstr>'202302M'!Área_de_impresión</vt:lpstr>
      <vt:lpstr>'202401anual'!Área_de_impresión</vt:lpstr>
      <vt:lpstr>'2024Ej'!Área_de_impresión</vt:lpstr>
      <vt:lpstr>'202301'!Títulos_a_imprimir</vt:lpstr>
      <vt:lpstr>'202302M'!Títulos_a_imprimir</vt:lpstr>
      <vt:lpstr>'202401anual'!Títulos_a_imprimir</vt:lpstr>
      <vt:lpstr>'2024Ej'!Títulos_a_imprimir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DANIEL ZAPATA YEPES</dc:creator>
  <cp:lastModifiedBy>Idalmy Palacios</cp:lastModifiedBy>
  <cp:lastPrinted>2024-04-16T00:57:44Z</cp:lastPrinted>
  <dcterms:created xsi:type="dcterms:W3CDTF">2021-06-03T01:26:57Z</dcterms:created>
  <dcterms:modified xsi:type="dcterms:W3CDTF">2024-04-16T03:49:47Z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66bb131-2344-48ed-84db-fe1e84a9fae2_Enabled">
    <vt:lpwstr>true</vt:lpwstr>
  </property>
  <property fmtid="{D5CDD505-2E9C-101B-9397-08002B2CF9AE}" pid="3" name="MSIP_Label_666bb131-2344-48ed-84db-fe1e84a9fae2_SetDate">
    <vt:lpwstr>2021-06-03T01:26:58Z</vt:lpwstr>
  </property>
  <property fmtid="{D5CDD505-2E9C-101B-9397-08002B2CF9AE}" pid="4" name="MSIP_Label_666bb131-2344-48ed-84db-fe1e84a9fae2_Method">
    <vt:lpwstr>Standard</vt:lpwstr>
  </property>
  <property fmtid="{D5CDD505-2E9C-101B-9397-08002B2CF9AE}" pid="5" name="MSIP_Label_666bb131-2344-48ed-84db-fe1e84a9fae2_Name">
    <vt:lpwstr>666bb131-2344-48ed-84db-fe1e84a9fae2</vt:lpwstr>
  </property>
  <property fmtid="{D5CDD505-2E9C-101B-9397-08002B2CF9AE}" pid="6" name="MSIP_Label_666bb131-2344-48ed-84db-fe1e84a9fae2_SiteId">
    <vt:lpwstr>bf1ce8b5-5d39-4bc5-ad6e-07b3e4d7d67a</vt:lpwstr>
  </property>
  <property fmtid="{D5CDD505-2E9C-101B-9397-08002B2CF9AE}" pid="7" name="MSIP_Label_666bb131-2344-48ed-84db-fe1e84a9fae2_ActionId">
    <vt:lpwstr>57355c52-4144-49a0-b163-dcd799bb362e</vt:lpwstr>
  </property>
  <property fmtid="{D5CDD505-2E9C-101B-9397-08002B2CF9AE}" pid="8" name="MSIP_Label_666bb131-2344-48ed-84db-fe1e84a9fae2_ContentBits">
    <vt:lpwstr>0</vt:lpwstr>
  </property>
  <property fmtid="{D5CDD505-2E9C-101B-9397-08002B2CF9AE}" pid="9" name="ContentTypeId">
    <vt:lpwstr>0x010100234B6F753C52164FB1D554AAB843CFC0</vt:lpwstr>
  </property>
  <property fmtid="{D5CDD505-2E9C-101B-9397-08002B2CF9AE}" pid="10" name="SV_QUERY_LIST_4F35BF76-6C0D-4D9B-82B2-816C12CF3733">
    <vt:lpwstr>empty_477D106A-C0D6-4607-AEBD-E2C9D60EA279</vt:lpwstr>
  </property>
  <property fmtid="{D5CDD505-2E9C-101B-9397-08002B2CF9AE}" pid="11" name="SV_HIDDEN_GRID_QUERY_LIST_4F35BF76-6C0D-4D9B-82B2-816C12CF3733">
    <vt:lpwstr>empty_477D106A-C0D6-4607-AEBD-E2C9D60EA279</vt:lpwstr>
  </property>
</Properties>
</file>