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Julio/"/>
    </mc:Choice>
  </mc:AlternateContent>
  <xr:revisionPtr revIDLastSave="265" documentId="8_{C000BD9D-F945-4FA2-9A9D-A3C26D571BD1}" xr6:coauthVersionLast="47" xr6:coauthVersionMax="47" xr10:uidLastSave="{C85EE56B-F7C7-4225-9712-0403E3ECBB49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8" i="10" l="1"/>
  <c r="AT28" i="10"/>
  <c r="V21" i="10"/>
  <c r="AT99" i="10"/>
  <c r="AT36" i="10" l="1"/>
  <c r="U45" i="10" l="1"/>
  <c r="U44" i="10"/>
  <c r="V69" i="10" l="1"/>
  <c r="V62" i="10"/>
  <c r="V71" i="10"/>
  <c r="V44" i="10"/>
  <c r="V29" i="10"/>
  <c r="V25" i="10"/>
  <c r="V17" i="10"/>
  <c r="V98" i="10"/>
  <c r="W13" i="10"/>
  <c r="W14" i="10"/>
  <c r="W15" i="10"/>
  <c r="W72" i="10"/>
  <c r="W73" i="10"/>
  <c r="W75" i="10"/>
  <c r="W76" i="10"/>
  <c r="W77" i="10"/>
  <c r="W81" i="10"/>
  <c r="W85" i="10"/>
  <c r="W86" i="10"/>
  <c r="W47" i="10"/>
  <c r="W43" i="10"/>
  <c r="W42" i="10"/>
  <c r="W41" i="10"/>
  <c r="W39" i="10"/>
  <c r="W38" i="10"/>
  <c r="W37" i="10"/>
  <c r="V11" i="10"/>
  <c r="V12" i="10"/>
  <c r="V10" i="10"/>
  <c r="V7" i="10"/>
  <c r="V6" i="10"/>
  <c r="V8" i="10"/>
  <c r="V82" i="10"/>
  <c r="V32" i="10"/>
  <c r="V19" i="10"/>
  <c r="V77" i="10"/>
  <c r="U92" i="10"/>
  <c r="U86" i="10"/>
  <c r="U85" i="10"/>
  <c r="U77" i="10"/>
  <c r="U73" i="10"/>
  <c r="U52" i="10"/>
  <c r="U37" i="10"/>
  <c r="U29" i="10"/>
  <c r="U25" i="10"/>
  <c r="U20" i="10"/>
  <c r="I104" i="9"/>
  <c r="W44" i="10" s="1"/>
  <c r="B27" i="9"/>
  <c r="I27" i="9"/>
  <c r="I118" i="9"/>
  <c r="U48" i="10" s="1"/>
  <c r="W48" i="10" s="1"/>
  <c r="I140" i="9"/>
  <c r="U84" i="10" s="1"/>
  <c r="W84" i="10" s="1"/>
  <c r="I134" i="9"/>
  <c r="U79" i="10" s="1"/>
  <c r="W79" i="10" s="1"/>
  <c r="I95" i="9"/>
  <c r="U59" i="10" s="1"/>
  <c r="I34" i="9"/>
  <c r="I33" i="9" s="1"/>
  <c r="U21" i="10" s="1"/>
  <c r="I136" i="9"/>
  <c r="U80" i="10" s="1"/>
  <c r="W80" i="10" s="1"/>
  <c r="I120" i="9"/>
  <c r="U46" i="10" s="1"/>
  <c r="W46" i="10" s="1"/>
  <c r="I132" i="9"/>
  <c r="I99" i="9"/>
  <c r="I93" i="9"/>
  <c r="U40" i="10" s="1"/>
  <c r="W40" i="10" s="1"/>
  <c r="I135" i="9"/>
  <c r="U49" i="10" s="1"/>
  <c r="W49" i="10" s="1"/>
  <c r="I114" i="9"/>
  <c r="W45" i="10" s="1"/>
  <c r="I90" i="9"/>
  <c r="U56" i="10" s="1"/>
  <c r="I89" i="9"/>
  <c r="U55" i="10" s="1"/>
  <c r="I94" i="9"/>
  <c r="U58" i="10" s="1"/>
  <c r="I97" i="9"/>
  <c r="U61" i="10" s="1"/>
  <c r="I105" i="9"/>
  <c r="U65" i="10" s="1"/>
  <c r="I102" i="9"/>
  <c r="U64" i="10" s="1"/>
  <c r="I107" i="9"/>
  <c r="I100" i="9"/>
  <c r="U63" i="10" s="1"/>
  <c r="I110" i="9"/>
  <c r="U69" i="10" s="1"/>
  <c r="I98" i="9"/>
  <c r="U62" i="10" s="1"/>
  <c r="I96" i="9"/>
  <c r="U60" i="10" s="1"/>
  <c r="I88" i="9"/>
  <c r="U54" i="10" s="1"/>
  <c r="I86" i="9"/>
  <c r="U53" i="10" s="1"/>
  <c r="I133" i="9"/>
  <c r="U78" i="10" s="1"/>
  <c r="W78" i="10" s="1"/>
  <c r="I139" i="9"/>
  <c r="U83" i="10" s="1"/>
  <c r="W83" i="10" s="1"/>
  <c r="I116" i="9"/>
  <c r="U74" i="10" s="1"/>
  <c r="W74" i="10" s="1"/>
  <c r="I138" i="9"/>
  <c r="U82" i="10" s="1"/>
  <c r="W82" i="10" s="1"/>
  <c r="I112" i="9"/>
  <c r="U71" i="10" s="1"/>
  <c r="I71" i="9"/>
  <c r="I77" i="9"/>
  <c r="I69" i="9"/>
  <c r="I68" i="9"/>
  <c r="I64" i="9"/>
  <c r="I66" i="9"/>
  <c r="I65" i="9"/>
  <c r="I57" i="9"/>
  <c r="I61" i="9"/>
  <c r="I60" i="9"/>
  <c r="I56" i="9"/>
  <c r="I47" i="9"/>
  <c r="U26" i="10" s="1"/>
  <c r="U27" i="10" s="1"/>
  <c r="I24" i="9"/>
  <c r="I40" i="9"/>
  <c r="I23" i="9"/>
  <c r="I18" i="9"/>
  <c r="U17" i="10"/>
  <c r="U15" i="10"/>
  <c r="I155" i="9" l="1"/>
  <c r="V16" i="10"/>
  <c r="N12" i="9" l="1"/>
  <c r="M12" i="9"/>
  <c r="L12" i="9"/>
  <c r="K12" i="9"/>
  <c r="J12" i="9"/>
  <c r="N11" i="9"/>
  <c r="M11" i="9"/>
  <c r="L11" i="9"/>
  <c r="K11" i="9"/>
  <c r="J11" i="9"/>
  <c r="N10" i="9"/>
  <c r="M10" i="9"/>
  <c r="L10" i="9"/>
  <c r="K10" i="9"/>
  <c r="J10" i="9"/>
  <c r="N9" i="9"/>
  <c r="M9" i="9"/>
  <c r="L9" i="9"/>
  <c r="K9" i="9"/>
  <c r="J9" i="9"/>
  <c r="N8" i="9"/>
  <c r="M8" i="9"/>
  <c r="L8" i="9"/>
  <c r="K8" i="9"/>
  <c r="J8" i="9"/>
  <c r="N7" i="9"/>
  <c r="M7" i="9"/>
  <c r="L7" i="9"/>
  <c r="K7" i="9"/>
  <c r="J7" i="9"/>
  <c r="N6" i="9"/>
  <c r="M6" i="9"/>
  <c r="L6" i="9"/>
  <c r="K6" i="9"/>
  <c r="J6" i="9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S57" i="10" l="1"/>
  <c r="S98" i="10"/>
  <c r="T47" i="10"/>
  <c r="T43" i="10"/>
  <c r="T42" i="10"/>
  <c r="T41" i="10"/>
  <c r="T39" i="10"/>
  <c r="T38" i="10"/>
  <c r="T79" i="10"/>
  <c r="T78" i="10"/>
  <c r="T76" i="10"/>
  <c r="T75" i="10"/>
  <c r="T72" i="10"/>
  <c r="T70" i="10"/>
  <c r="T69" i="10"/>
  <c r="T68" i="10"/>
  <c r="T67" i="10"/>
  <c r="T61" i="10"/>
  <c r="T54" i="10"/>
  <c r="T53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R37" i="10"/>
  <c r="T37" i="10" s="1"/>
  <c r="R62" i="10"/>
  <c r="T62" i="10" s="1"/>
  <c r="R41" i="10"/>
  <c r="R43" i="10"/>
  <c r="R74" i="10"/>
  <c r="T74" i="10" s="1"/>
  <c r="R48" i="10"/>
  <c r="T48" i="10" s="1"/>
  <c r="R89" i="10"/>
  <c r="R85" i="10"/>
  <c r="T85" i="10" s="1"/>
  <c r="R84" i="10"/>
  <c r="T84" i="10" s="1"/>
  <c r="R82" i="10"/>
  <c r="T82" i="10" s="1"/>
  <c r="R79" i="10"/>
  <c r="R78" i="10"/>
  <c r="R73" i="10"/>
  <c r="T73" i="10" s="1"/>
  <c r="R66" i="10"/>
  <c r="T66" i="10" s="1"/>
  <c r="R64" i="10"/>
  <c r="T64" i="10" s="1"/>
  <c r="R63" i="10"/>
  <c r="T63" i="10" s="1"/>
  <c r="R60" i="10"/>
  <c r="T60" i="10" s="1"/>
  <c r="R59" i="10"/>
  <c r="T59" i="10" s="1"/>
  <c r="R57" i="10"/>
  <c r="R54" i="10"/>
  <c r="R69" i="10"/>
  <c r="R81" i="10"/>
  <c r="T81" i="10" s="1"/>
  <c r="R52" i="10"/>
  <c r="R22" i="10"/>
  <c r="Q22" i="10"/>
  <c r="Q21" i="10"/>
  <c r="N22" i="10"/>
  <c r="N21" i="10"/>
  <c r="R77" i="10"/>
  <c r="T77" i="10" s="1"/>
  <c r="R21" i="10"/>
  <c r="T57" i="10" l="1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S16" i="10"/>
  <c r="H71" i="9"/>
  <c r="H77" i="9"/>
  <c r="H68" i="9"/>
  <c r="H64" i="9"/>
  <c r="H65" i="9"/>
  <c r="H57" i="9"/>
  <c r="H63" i="9"/>
  <c r="H62" i="9"/>
  <c r="H61" i="9"/>
  <c r="H56" i="9"/>
  <c r="S6" i="10"/>
  <c r="S7" i="10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AN6" i="10" s="1"/>
  <c r="P16" i="10" l="1"/>
  <c r="O96" i="10"/>
  <c r="O95" i="10"/>
  <c r="O94" i="10"/>
  <c r="O93" i="10"/>
  <c r="O92" i="10"/>
  <c r="O91" i="10"/>
  <c r="O90" i="10"/>
  <c r="O89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G43" i="9"/>
  <c r="O97" i="10"/>
  <c r="O46" i="10"/>
  <c r="O40" i="10"/>
  <c r="Q40" i="10" s="1"/>
  <c r="O49" i="10"/>
  <c r="Q49" i="10" s="1"/>
  <c r="O44" i="10"/>
  <c r="Q48" i="10"/>
  <c r="G47" i="9"/>
  <c r="O26" i="10" s="1"/>
  <c r="G20" i="9"/>
  <c r="G22" i="9"/>
  <c r="G41" i="9"/>
  <c r="G30" i="9"/>
  <c r="G19" i="9"/>
  <c r="G29" i="9"/>
  <c r="G28" i="9"/>
  <c r="G23" i="9"/>
  <c r="G18" i="9"/>
  <c r="Q26" i="10" l="1"/>
  <c r="O27" i="10"/>
  <c r="Q46" i="10"/>
  <c r="P44" i="10"/>
  <c r="P24" i="10"/>
  <c r="P62" i="10"/>
  <c r="P29" i="10"/>
  <c r="P36" i="10" s="1"/>
  <c r="P25" i="10"/>
  <c r="M44" i="10"/>
  <c r="L89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2" i="10"/>
  <c r="L91" i="10"/>
  <c r="L90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O72" i="9"/>
  <c r="Q79" i="9"/>
  <c r="Q70" i="9"/>
  <c r="Q58" i="9"/>
  <c r="Q54" i="9"/>
  <c r="Q44" i="9"/>
  <c r="L112" i="9"/>
  <c r="B112" i="9"/>
  <c r="B71" i="10" s="1"/>
  <c r="B85" i="9" l="1"/>
  <c r="B39" i="10" s="1"/>
  <c r="B62" i="9"/>
  <c r="B117" i="9"/>
  <c r="B75" i="10" s="1"/>
  <c r="O53" i="9"/>
  <c r="Q53" i="9" s="1"/>
  <c r="B142" i="9"/>
  <c r="B86" i="10" s="1"/>
  <c r="N124" i="9"/>
  <c r="B124" i="9"/>
  <c r="B91" i="10" s="1"/>
  <c r="M123" i="9"/>
  <c r="B123" i="9"/>
  <c r="B90" i="10" s="1"/>
  <c r="B120" i="9"/>
  <c r="B46" i="10" s="1"/>
  <c r="B132" i="9"/>
  <c r="B47" i="10" s="1"/>
  <c r="M99" i="9"/>
  <c r="B99" i="9"/>
  <c r="B42" i="10" s="1"/>
  <c r="K135" i="9"/>
  <c r="L135" i="9" s="1"/>
  <c r="B135" i="9"/>
  <c r="B49" i="10" s="1"/>
  <c r="B118" i="9"/>
  <c r="B48" i="10" s="1"/>
  <c r="B114" i="9"/>
  <c r="B45" i="10" s="1"/>
  <c r="L84" i="9"/>
  <c r="B84" i="9"/>
  <c r="B38" i="10" s="1"/>
  <c r="Q72" i="9"/>
  <c r="B72" i="9"/>
  <c r="L71" i="9"/>
  <c r="K71" i="9"/>
  <c r="N71" i="9" s="1"/>
  <c r="J71" i="9"/>
  <c r="M71" i="9" s="1"/>
  <c r="B71" i="9"/>
  <c r="B68" i="9"/>
  <c r="B53" i="9"/>
  <c r="M65" i="9"/>
  <c r="N65" i="9" s="1"/>
  <c r="B65" i="9"/>
  <c r="B64" i="9"/>
  <c r="L57" i="9"/>
  <c r="K57" i="9"/>
  <c r="J57" i="9"/>
  <c r="B57" i="9"/>
  <c r="K61" i="9"/>
  <c r="B61" i="9"/>
  <c r="B60" i="9"/>
  <c r="B56" i="9"/>
  <c r="B55" i="9" s="1"/>
  <c r="B89" i="9"/>
  <c r="B55" i="10" s="1"/>
  <c r="J119" i="9"/>
  <c r="B119" i="9"/>
  <c r="B76" i="10" s="1"/>
  <c r="B107" i="9"/>
  <c r="B67" i="10" s="1"/>
  <c r="B94" i="9"/>
  <c r="B58" i="10" s="1"/>
  <c r="N116" i="9"/>
  <c r="M116" i="9"/>
  <c r="L116" i="9"/>
  <c r="K116" i="9"/>
  <c r="J116" i="9"/>
  <c r="L74" i="10"/>
  <c r="N74" i="10" s="1"/>
  <c r="I74" i="10"/>
  <c r="K74" i="10" s="1"/>
  <c r="B116" i="9"/>
  <c r="B74" i="10" s="1"/>
  <c r="E25" i="9"/>
  <c r="B25" i="9"/>
  <c r="K39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M15" i="10" l="1"/>
  <c r="AO15" i="10" s="1"/>
  <c r="AP13" i="10"/>
  <c r="B17" i="9"/>
  <c r="B19" i="10" s="1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F16" i="10" l="1"/>
  <c r="F24" i="10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AB16" i="10"/>
  <c r="Y16" i="10"/>
  <c r="X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U98" i="10"/>
  <c r="X98" i="10"/>
  <c r="Y98" i="10"/>
  <c r="AB98" i="10"/>
  <c r="AE98" i="10"/>
  <c r="AG98" i="10"/>
  <c r="AH98" i="10"/>
  <c r="AJ98" i="10"/>
  <c r="AK98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I131" i="9"/>
  <c r="J131" i="9" s="1"/>
  <c r="K131" i="9" s="1"/>
  <c r="L131" i="9" s="1"/>
  <c r="M131" i="9" s="1"/>
  <c r="N131" i="9" s="1"/>
  <c r="K91" i="9"/>
  <c r="I57" i="10"/>
  <c r="AM57" i="10" s="1"/>
  <c r="N111" i="9"/>
  <c r="J94" i="9"/>
  <c r="O97" i="9"/>
  <c r="Q97" i="9" s="1"/>
  <c r="O98" i="9"/>
  <c r="Q98" i="9" s="1"/>
  <c r="O99" i="9"/>
  <c r="Q99" i="9" s="1"/>
  <c r="O100" i="9"/>
  <c r="Q100" i="9" s="1"/>
  <c r="O101" i="9"/>
  <c r="Q101" i="9" s="1"/>
  <c r="O117" i="9"/>
  <c r="Q117" i="9" s="1"/>
  <c r="O121" i="9"/>
  <c r="Q121" i="9" s="1"/>
  <c r="I82" i="10"/>
  <c r="K82" i="10" s="1"/>
  <c r="O129" i="9"/>
  <c r="Q129" i="9" s="1"/>
  <c r="O130" i="9"/>
  <c r="Q130" i="9" s="1"/>
  <c r="O122" i="9"/>
  <c r="Q122" i="9" s="1"/>
  <c r="O123" i="9"/>
  <c r="Q123" i="9" s="1"/>
  <c r="O124" i="9"/>
  <c r="Q124" i="9" s="1"/>
  <c r="O125" i="9"/>
  <c r="Q125" i="9" s="1"/>
  <c r="O126" i="9"/>
  <c r="Q126" i="9" s="1"/>
  <c r="O127" i="9"/>
  <c r="Q127" i="9" s="1"/>
  <c r="O128" i="9"/>
  <c r="Q128" i="9" s="1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K55" i="9"/>
  <c r="L55" i="9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M52" i="9"/>
  <c r="N52" i="9"/>
  <c r="C50" i="9"/>
  <c r="D50" i="9" s="1"/>
  <c r="O77" i="9"/>
  <c r="Q77" i="9" s="1"/>
  <c r="O76" i="9"/>
  <c r="Q76" i="9" s="1"/>
  <c r="O75" i="9"/>
  <c r="Q75" i="9" s="1"/>
  <c r="O74" i="9"/>
  <c r="Q74" i="9" s="1"/>
  <c r="O67" i="9"/>
  <c r="Q67" i="9" s="1"/>
  <c r="O69" i="9"/>
  <c r="Q69" i="9" s="1"/>
  <c r="O71" i="9"/>
  <c r="Q71" i="9" s="1"/>
  <c r="S99" i="10" l="1"/>
  <c r="AB99" i="10"/>
  <c r="I46" i="10"/>
  <c r="AP80" i="10"/>
  <c r="E50" i="9"/>
  <c r="I29" i="10"/>
  <c r="K47" i="10"/>
  <c r="AM47" i="10"/>
  <c r="AO47" i="10" s="1"/>
  <c r="AP47" i="10" s="1"/>
  <c r="P99" i="10"/>
  <c r="AE99" i="10"/>
  <c r="AH99" i="10"/>
  <c r="AN86" i="10"/>
  <c r="D87" i="10"/>
  <c r="D99" i="10" s="1"/>
  <c r="E86" i="10"/>
  <c r="AM66" i="10"/>
  <c r="V99" i="10"/>
  <c r="AK99" i="10"/>
  <c r="E46" i="10"/>
  <c r="E82" i="10"/>
  <c r="E81" i="10"/>
  <c r="E58" i="10"/>
  <c r="J99" i="10"/>
  <c r="U99" i="10"/>
  <c r="AM69" i="10"/>
  <c r="AO69" i="10" s="1"/>
  <c r="AP69" i="10" s="1"/>
  <c r="Y99" i="10"/>
  <c r="E57" i="10"/>
  <c r="C98" i="10"/>
  <c r="AM77" i="10"/>
  <c r="AO77" i="10" s="1"/>
  <c r="E80" i="10"/>
  <c r="E68" i="10"/>
  <c r="E67" i="10"/>
  <c r="E55" i="10"/>
  <c r="AM75" i="10"/>
  <c r="AO75" i="10" s="1"/>
  <c r="AM63" i="10"/>
  <c r="E40" i="10"/>
  <c r="AM74" i="10"/>
  <c r="AO74" i="10" s="1"/>
  <c r="AM62" i="10"/>
  <c r="E41" i="10"/>
  <c r="AM61" i="10"/>
  <c r="AO61" i="10" s="1"/>
  <c r="AP61" i="10" s="1"/>
  <c r="X87" i="10"/>
  <c r="X99" i="10" s="1"/>
  <c r="AM60" i="10"/>
  <c r="AM72" i="10"/>
  <c r="O132" i="9"/>
  <c r="Q132" i="9" s="1"/>
  <c r="O89" i="9"/>
  <c r="Q89" i="9" s="1"/>
  <c r="O116" i="9"/>
  <c r="Q116" i="9" s="1"/>
  <c r="O52" i="9"/>
  <c r="Q52" i="9" s="1"/>
  <c r="N64" i="9"/>
  <c r="M64" i="9"/>
  <c r="O57" i="9"/>
  <c r="Q57" i="9" s="1"/>
  <c r="O63" i="9"/>
  <c r="Q63" i="9" s="1"/>
  <c r="O66" i="9"/>
  <c r="Q66" i="9" s="1"/>
  <c r="O62" i="9"/>
  <c r="Q62" i="9" s="1"/>
  <c r="L61" i="9"/>
  <c r="M61" i="9" s="1"/>
  <c r="N61" i="9" s="1"/>
  <c r="D60" i="9"/>
  <c r="K60" i="9" s="1"/>
  <c r="O56" i="9"/>
  <c r="Q56" i="9" s="1"/>
  <c r="D47" i="9"/>
  <c r="K46" i="10" l="1"/>
  <c r="L82" i="10"/>
  <c r="F50" i="9"/>
  <c r="AP75" i="10"/>
  <c r="AP74" i="10"/>
  <c r="I86" i="10"/>
  <c r="AP77" i="10"/>
  <c r="AQ61" i="10"/>
  <c r="O55" i="9"/>
  <c r="Q55" i="9" s="1"/>
  <c r="O64" i="9"/>
  <c r="Q64" i="9" s="1"/>
  <c r="O61" i="9"/>
  <c r="Q61" i="9" s="1"/>
  <c r="O82" i="10" l="1"/>
  <c r="Q82" i="10" s="1"/>
  <c r="O29" i="10"/>
  <c r="Q29" i="10" s="1"/>
  <c r="H50" i="9"/>
  <c r="L29" i="10"/>
  <c r="K86" i="10"/>
  <c r="N82" i="10"/>
  <c r="AM82" i="10"/>
  <c r="AO82" i="10" s="1"/>
  <c r="AP82" i="10" s="1"/>
  <c r="C17" i="9"/>
  <c r="G25" i="9"/>
  <c r="I25" i="9" s="1"/>
  <c r="J25" i="9" s="1"/>
  <c r="D25" i="9"/>
  <c r="D17" i="9" s="1"/>
  <c r="J40" i="9"/>
  <c r="K40" i="9" s="1"/>
  <c r="L40" i="9" s="1"/>
  <c r="M40" i="9" s="1"/>
  <c r="N40" i="9" s="1"/>
  <c r="G40" i="9"/>
  <c r="D40" i="9"/>
  <c r="O26" i="9"/>
  <c r="O30" i="9"/>
  <c r="Q30" i="9" s="1"/>
  <c r="O32" i="9"/>
  <c r="O33" i="9"/>
  <c r="Q33" i="9" s="1"/>
  <c r="O35" i="9"/>
  <c r="O36" i="9"/>
  <c r="Q36" i="9" s="1"/>
  <c r="O38" i="9"/>
  <c r="Q38" i="9" s="1"/>
  <c r="O39" i="9"/>
  <c r="Q39" i="9" s="1"/>
  <c r="O43" i="9"/>
  <c r="O19" i="9"/>
  <c r="Q19" i="9" s="1"/>
  <c r="O20" i="9"/>
  <c r="Q20" i="9" s="1"/>
  <c r="O21" i="9"/>
  <c r="Q21" i="9" s="1"/>
  <c r="O22" i="9"/>
  <c r="Q22" i="9" s="1"/>
  <c r="O24" i="9"/>
  <c r="Q24" i="9" s="1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1" i="9"/>
  <c r="P152" i="9"/>
  <c r="P153" i="9"/>
  <c r="P154" i="9"/>
  <c r="P155" i="9"/>
  <c r="I50" i="9" l="1"/>
  <c r="J50" i="9" s="1"/>
  <c r="K50" i="9" s="1"/>
  <c r="L50" i="9" s="1"/>
  <c r="M50" i="9" s="1"/>
  <c r="N50" i="9" s="1"/>
  <c r="R29" i="10"/>
  <c r="J120" i="9"/>
  <c r="K120" i="9" s="1"/>
  <c r="L120" i="9" s="1"/>
  <c r="M120" i="9" s="1"/>
  <c r="N120" i="9" s="1"/>
  <c r="R46" i="10"/>
  <c r="I142" i="9"/>
  <c r="J142" i="9" s="1"/>
  <c r="K142" i="9" s="1"/>
  <c r="L142" i="9" s="1"/>
  <c r="M142" i="9" s="1"/>
  <c r="N142" i="9" s="1"/>
  <c r="R86" i="10"/>
  <c r="K138" i="9"/>
  <c r="L138" i="9" s="1"/>
  <c r="M138" i="9" s="1"/>
  <c r="N138" i="9" s="1"/>
  <c r="J138" i="9"/>
  <c r="R16" i="10"/>
  <c r="O142" i="9"/>
  <c r="Q142" i="9" s="1"/>
  <c r="AM6" i="10"/>
  <c r="AO6" i="10" s="1"/>
  <c r="O16" i="10"/>
  <c r="F15" i="9"/>
  <c r="I17" i="10"/>
  <c r="P32" i="9"/>
  <c r="Q32" i="9"/>
  <c r="P26" i="9"/>
  <c r="Q26" i="9"/>
  <c r="O120" i="9"/>
  <c r="Q120" i="9" s="1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L25" i="9"/>
  <c r="M25" i="9" s="1"/>
  <c r="N25" i="9" s="1"/>
  <c r="O40" i="9"/>
  <c r="Q40" i="9" s="1"/>
  <c r="AM86" i="10" l="1"/>
  <c r="AO86" i="10" s="1"/>
  <c r="AP86" i="10" s="1"/>
  <c r="T86" i="10"/>
  <c r="AM46" i="10"/>
  <c r="AO46" i="10" s="1"/>
  <c r="AP46" i="10" s="1"/>
  <c r="T46" i="10"/>
  <c r="G15" i="9"/>
  <c r="O17" i="10" s="1"/>
  <c r="Q17" i="10" s="1"/>
  <c r="L17" i="10"/>
  <c r="P12" i="9"/>
  <c r="Q12" i="9"/>
  <c r="P9" i="9"/>
  <c r="Q9" i="9"/>
  <c r="O25" i="9"/>
  <c r="Q25" i="9" s="1"/>
  <c r="I15" i="9" l="1"/>
  <c r="J15" i="9" l="1"/>
  <c r="K15" i="9" s="1"/>
  <c r="L15" i="9" s="1"/>
  <c r="M15" i="9" s="1"/>
  <c r="N15" i="9" s="1"/>
  <c r="R17" i="10"/>
  <c r="L60" i="9"/>
  <c r="M60" i="9" l="1"/>
  <c r="N60" i="9" l="1"/>
  <c r="O60" i="9" l="1"/>
  <c r="Q60" i="9" s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K31" i="9"/>
  <c r="O31" i="9" s="1"/>
  <c r="A12" i="9"/>
  <c r="A11" i="9"/>
  <c r="P31" i="9" l="1"/>
  <c r="Q31" i="9"/>
  <c r="P116" i="9"/>
  <c r="P117" i="9"/>
  <c r="AQ69" i="10"/>
  <c r="P122" i="9"/>
  <c r="P123" i="9"/>
  <c r="P124" i="9"/>
  <c r="P126" i="9"/>
  <c r="P127" i="9"/>
  <c r="P125" i="9"/>
  <c r="P128" i="9"/>
  <c r="P129" i="9"/>
  <c r="P130" i="9"/>
  <c r="P60" i="9"/>
  <c r="C42" i="9"/>
  <c r="B37" i="9"/>
  <c r="B23" i="10" s="1"/>
  <c r="B73" i="9"/>
  <c r="P74" i="9"/>
  <c r="P38" i="9"/>
  <c r="B20" i="10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8" i="10"/>
  <c r="B81" i="9"/>
  <c r="C59" i="9"/>
  <c r="D73" i="9"/>
  <c r="J68" i="9"/>
  <c r="K68" i="9" s="1"/>
  <c r="L68" i="9" s="1"/>
  <c r="M68" i="9" s="1"/>
  <c r="N68" i="9" s="1"/>
  <c r="O18" i="9"/>
  <c r="E41" i="9"/>
  <c r="F17" i="9"/>
  <c r="L19" i="10" s="1"/>
  <c r="C37" i="9"/>
  <c r="D42" i="9"/>
  <c r="E42" i="9" s="1"/>
  <c r="F42" i="9" s="1"/>
  <c r="G42" i="9" s="1"/>
  <c r="I42" i="9" s="1"/>
  <c r="J42" i="9" s="1"/>
  <c r="K42" i="9" s="1"/>
  <c r="L42" i="9" s="1"/>
  <c r="M42" i="9" s="1"/>
  <c r="N42" i="9" s="1"/>
  <c r="O29" i="9"/>
  <c r="B45" i="9"/>
  <c r="D28" i="9"/>
  <c r="AL72" i="10"/>
  <c r="AJ70" i="10"/>
  <c r="AL32" i="10"/>
  <c r="I53" i="10" l="1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J118" i="9"/>
  <c r="K118" i="9" s="1"/>
  <c r="L118" i="9" s="1"/>
  <c r="M118" i="9" s="1"/>
  <c r="N118" i="9" s="1"/>
  <c r="I48" i="10"/>
  <c r="R45" i="10"/>
  <c r="T45" i="10" s="1"/>
  <c r="I45" i="10"/>
  <c r="I39" i="10"/>
  <c r="K39" i="10" s="1"/>
  <c r="I56" i="10"/>
  <c r="E53" i="10"/>
  <c r="AL70" i="10"/>
  <c r="AJ87" i="10"/>
  <c r="AJ99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O68" i="9"/>
  <c r="O42" i="9"/>
  <c r="D37" i="9"/>
  <c r="H17" i="9"/>
  <c r="R19" i="10" s="1"/>
  <c r="G17" i="9"/>
  <c r="O19" i="10" s="1"/>
  <c r="Q19" i="10" s="1"/>
  <c r="E37" i="9"/>
  <c r="I23" i="10" s="1"/>
  <c r="E28" i="9"/>
  <c r="D27" i="9"/>
  <c r="O118" i="9" l="1"/>
  <c r="Q118" i="9" s="1"/>
  <c r="J104" i="9"/>
  <c r="K104" i="9" s="1"/>
  <c r="L104" i="9" s="1"/>
  <c r="M104" i="9" s="1"/>
  <c r="N104" i="9" s="1"/>
  <c r="R44" i="10"/>
  <c r="J90" i="9"/>
  <c r="K90" i="9" s="1"/>
  <c r="L90" i="9" s="1"/>
  <c r="M90" i="9" s="1"/>
  <c r="N90" i="9" s="1"/>
  <c r="R56" i="10"/>
  <c r="L83" i="10"/>
  <c r="L84" i="10"/>
  <c r="L54" i="10"/>
  <c r="L39" i="10"/>
  <c r="N39" i="10" s="1"/>
  <c r="L59" i="10"/>
  <c r="K44" i="10"/>
  <c r="AM44" i="10"/>
  <c r="AO44" i="10" s="1"/>
  <c r="M135" i="9"/>
  <c r="N135" i="9" s="1"/>
  <c r="L49" i="10"/>
  <c r="N49" i="10" s="1"/>
  <c r="L85" i="10"/>
  <c r="J105" i="9"/>
  <c r="K105" i="9" s="1"/>
  <c r="L105" i="9" s="1"/>
  <c r="M105" i="9" s="1"/>
  <c r="N105" i="9" s="1"/>
  <c r="L65" i="10"/>
  <c r="AM65" i="10" s="1"/>
  <c r="L73" i="10"/>
  <c r="N73" i="10" s="1"/>
  <c r="L79" i="10"/>
  <c r="N79" i="10" s="1"/>
  <c r="L78" i="10"/>
  <c r="N78" i="10" s="1"/>
  <c r="P42" i="9"/>
  <c r="Q42" i="9"/>
  <c r="O104" i="9"/>
  <c r="Q104" i="9" s="1"/>
  <c r="L64" i="10"/>
  <c r="L53" i="10"/>
  <c r="J114" i="9"/>
  <c r="K114" i="9" s="1"/>
  <c r="L114" i="9" s="1"/>
  <c r="M114" i="9" s="1"/>
  <c r="N114" i="9" s="1"/>
  <c r="O45" i="10"/>
  <c r="Q45" i="10" s="1"/>
  <c r="AM48" i="10"/>
  <c r="AO48" i="10" s="1"/>
  <c r="K48" i="10"/>
  <c r="K45" i="10"/>
  <c r="AM49" i="10"/>
  <c r="AO49" i="10" s="1"/>
  <c r="K49" i="10"/>
  <c r="P68" i="9"/>
  <c r="Q68" i="9"/>
  <c r="L85" i="9"/>
  <c r="M85" i="9" s="1"/>
  <c r="N85" i="9" s="1"/>
  <c r="AM56" i="10"/>
  <c r="AO56" i="10" s="1"/>
  <c r="AP56" i="10" s="1"/>
  <c r="E59" i="9"/>
  <c r="I33" i="10" s="1"/>
  <c r="F73" i="9"/>
  <c r="L34" i="10" s="1"/>
  <c r="F37" i="9"/>
  <c r="L23" i="10" s="1"/>
  <c r="E27" i="9"/>
  <c r="J23" i="9"/>
  <c r="I17" i="9"/>
  <c r="U19" i="10" s="1"/>
  <c r="AM19" i="10" s="1"/>
  <c r="D45" i="9"/>
  <c r="AH27" i="10"/>
  <c r="AI72" i="10"/>
  <c r="AG70" i="10"/>
  <c r="AI11" i="10"/>
  <c r="R87" i="10" l="1"/>
  <c r="T56" i="10"/>
  <c r="R50" i="10"/>
  <c r="T44" i="10"/>
  <c r="T50" i="10" s="1"/>
  <c r="J88" i="9"/>
  <c r="K88" i="9" s="1"/>
  <c r="L88" i="9" s="1"/>
  <c r="M88" i="9" s="1"/>
  <c r="N88" i="9" s="1"/>
  <c r="O54" i="10"/>
  <c r="AM54" i="10"/>
  <c r="AO54" i="10" s="1"/>
  <c r="AP54" i="10" s="1"/>
  <c r="J140" i="9"/>
  <c r="K140" i="9" s="1"/>
  <c r="L140" i="9" s="1"/>
  <c r="M140" i="9" s="1"/>
  <c r="N140" i="9" s="1"/>
  <c r="O84" i="10"/>
  <c r="Q84" i="10" s="1"/>
  <c r="I141" i="9"/>
  <c r="J141" i="9" s="1"/>
  <c r="K141" i="9" s="1"/>
  <c r="L141" i="9" s="1"/>
  <c r="M141" i="9" s="1"/>
  <c r="N141" i="9" s="1"/>
  <c r="O85" i="10"/>
  <c r="Q85" i="10" s="1"/>
  <c r="J139" i="9"/>
  <c r="K139" i="9" s="1"/>
  <c r="L139" i="9" s="1"/>
  <c r="M139" i="9" s="1"/>
  <c r="N139" i="9" s="1"/>
  <c r="O83" i="10"/>
  <c r="Q83" i="10" s="1"/>
  <c r="J133" i="9"/>
  <c r="K133" i="9" s="1"/>
  <c r="L133" i="9" s="1"/>
  <c r="M133" i="9" s="1"/>
  <c r="N133" i="9" s="1"/>
  <c r="O78" i="10"/>
  <c r="J102" i="9"/>
  <c r="K102" i="9" s="1"/>
  <c r="L102" i="9" s="1"/>
  <c r="M102" i="9" s="1"/>
  <c r="N102" i="9" s="1"/>
  <c r="O64" i="10"/>
  <c r="AM64" i="10" s="1"/>
  <c r="AO64" i="10" s="1"/>
  <c r="AP64" i="10" s="1"/>
  <c r="J95" i="9"/>
  <c r="K95" i="9" s="1"/>
  <c r="L95" i="9" s="1"/>
  <c r="M95" i="9" s="1"/>
  <c r="N95" i="9" s="1"/>
  <c r="O59" i="10"/>
  <c r="AM59" i="10" s="1"/>
  <c r="AO59" i="10" s="1"/>
  <c r="AP59" i="10" s="1"/>
  <c r="J134" i="9"/>
  <c r="K134" i="9" s="1"/>
  <c r="L134" i="9" s="1"/>
  <c r="M134" i="9" s="1"/>
  <c r="N134" i="9" s="1"/>
  <c r="O79" i="10"/>
  <c r="Q79" i="10" s="1"/>
  <c r="J86" i="9"/>
  <c r="K86" i="9" s="1"/>
  <c r="L86" i="9" s="1"/>
  <c r="M86" i="9" s="1"/>
  <c r="N86" i="9" s="1"/>
  <c r="O53" i="10"/>
  <c r="AM53" i="10" s="1"/>
  <c r="AO53" i="10" s="1"/>
  <c r="AP53" i="10" s="1"/>
  <c r="I115" i="9"/>
  <c r="J115" i="9" s="1"/>
  <c r="K115" i="9" s="1"/>
  <c r="L115" i="9" s="1"/>
  <c r="M115" i="9" s="1"/>
  <c r="N115" i="9" s="1"/>
  <c r="O73" i="10"/>
  <c r="Q73" i="10" s="1"/>
  <c r="AM45" i="10"/>
  <c r="AO45" i="10" s="1"/>
  <c r="AP45" i="10" s="1"/>
  <c r="AP44" i="10"/>
  <c r="AM73" i="10"/>
  <c r="AO73" i="10" s="1"/>
  <c r="AP73" i="10" s="1"/>
  <c r="E45" i="9"/>
  <c r="I20" i="10"/>
  <c r="I85" i="9"/>
  <c r="J85" i="9" s="1"/>
  <c r="O39" i="10"/>
  <c r="Q39" i="10" s="1"/>
  <c r="N84" i="10"/>
  <c r="N85" i="10"/>
  <c r="N83" i="10"/>
  <c r="AM83" i="10"/>
  <c r="AO83" i="10" s="1"/>
  <c r="AP49" i="10"/>
  <c r="AP48" i="10"/>
  <c r="AI70" i="10"/>
  <c r="AG87" i="10"/>
  <c r="AG99" i="10" s="1"/>
  <c r="H78" i="9"/>
  <c r="G73" i="9"/>
  <c r="O34" i="10" s="1"/>
  <c r="F59" i="9"/>
  <c r="L33" i="10" s="1"/>
  <c r="K23" i="9"/>
  <c r="J17" i="9"/>
  <c r="F27" i="9"/>
  <c r="G37" i="9"/>
  <c r="O23" i="10" s="1"/>
  <c r="Q23" i="10" s="1"/>
  <c r="AH36" i="10"/>
  <c r="AE27" i="10"/>
  <c r="AE36" i="10"/>
  <c r="AE24" i="10"/>
  <c r="AM79" i="10" l="1"/>
  <c r="AO79" i="10" s="1"/>
  <c r="AP79" i="10" s="1"/>
  <c r="AM85" i="10"/>
  <c r="AO85" i="10" s="1"/>
  <c r="AP85" i="10" s="1"/>
  <c r="Q78" i="10"/>
  <c r="AM78" i="10"/>
  <c r="AO78" i="10" s="1"/>
  <c r="AP78" i="10" s="1"/>
  <c r="AM84" i="10"/>
  <c r="AO84" i="10" s="1"/>
  <c r="AP84" i="10" s="1"/>
  <c r="AP83" i="10"/>
  <c r="AM39" i="10"/>
  <c r="AO39" i="10" s="1"/>
  <c r="F45" i="9"/>
  <c r="L20" i="10"/>
  <c r="G59" i="9"/>
  <c r="O33" i="10" s="1"/>
  <c r="I78" i="9"/>
  <c r="H73" i="9"/>
  <c r="R34" i="10" s="1"/>
  <c r="I41" i="9"/>
  <c r="H37" i="9"/>
  <c r="G27" i="9"/>
  <c r="L23" i="9"/>
  <c r="K17" i="9"/>
  <c r="AE28" i="10"/>
  <c r="AE100" i="10" s="1"/>
  <c r="R23" i="10" l="1"/>
  <c r="AP39" i="10"/>
  <c r="G45" i="9"/>
  <c r="O20" i="10"/>
  <c r="AE101" i="10"/>
  <c r="H59" i="9"/>
  <c r="R33" i="10" s="1"/>
  <c r="J78" i="9"/>
  <c r="I73" i="9"/>
  <c r="U34" i="10" s="1"/>
  <c r="I28" i="9"/>
  <c r="H27" i="9"/>
  <c r="R20" i="10" s="1"/>
  <c r="R24" i="10" s="1"/>
  <c r="R28" i="10" s="1"/>
  <c r="M23" i="9"/>
  <c r="L17" i="9"/>
  <c r="J41" i="9"/>
  <c r="I37" i="9"/>
  <c r="I45" i="9" l="1"/>
  <c r="U23" i="10"/>
  <c r="H45" i="9"/>
  <c r="O24" i="10"/>
  <c r="Q20" i="10"/>
  <c r="AM20" i="10"/>
  <c r="K78" i="9"/>
  <c r="J73" i="9"/>
  <c r="I59" i="9"/>
  <c r="U33" i="10" s="1"/>
  <c r="N23" i="9"/>
  <c r="N17" i="9" s="1"/>
  <c r="M17" i="9"/>
  <c r="O17" i="9" s="1"/>
  <c r="Q17" i="9" s="1"/>
  <c r="K41" i="9"/>
  <c r="J37" i="9"/>
  <c r="J28" i="9"/>
  <c r="AF72" i="10"/>
  <c r="AF70" i="10"/>
  <c r="AF11" i="10"/>
  <c r="O23" i="9" l="1"/>
  <c r="L78" i="9"/>
  <c r="K73" i="9"/>
  <c r="J59" i="9"/>
  <c r="K28" i="9"/>
  <c r="J27" i="9"/>
  <c r="J45" i="9" s="1"/>
  <c r="L41" i="9"/>
  <c r="K37" i="9"/>
  <c r="P23" i="9" l="1"/>
  <c r="Q23" i="9"/>
  <c r="K59" i="9"/>
  <c r="M78" i="9"/>
  <c r="L73" i="9"/>
  <c r="M41" i="9"/>
  <c r="L37" i="9"/>
  <c r="L28" i="9"/>
  <c r="K27" i="9"/>
  <c r="AA70" i="10"/>
  <c r="AC72" i="10"/>
  <c r="AC70" i="10" l="1"/>
  <c r="AA87" i="10"/>
  <c r="N78" i="9"/>
  <c r="N73" i="9" s="1"/>
  <c r="M73" i="9"/>
  <c r="L59" i="9"/>
  <c r="M28" i="9"/>
  <c r="L27" i="9"/>
  <c r="L45" i="9" s="1"/>
  <c r="K45" i="9"/>
  <c r="N41" i="9"/>
  <c r="N37" i="9" s="1"/>
  <c r="M37" i="9"/>
  <c r="AC11" i="10"/>
  <c r="AB24" i="10"/>
  <c r="AB27" i="10"/>
  <c r="AB36" i="10"/>
  <c r="O78" i="9" l="1"/>
  <c r="M59" i="9"/>
  <c r="O41" i="9"/>
  <c r="O37" i="9"/>
  <c r="Q37" i="9" s="1"/>
  <c r="N28" i="9"/>
  <c r="M27" i="9"/>
  <c r="AB28" i="10"/>
  <c r="AB100" i="10" s="1"/>
  <c r="AB101" i="10" s="1"/>
  <c r="O73" i="9" l="1"/>
  <c r="Q73" i="9" s="1"/>
  <c r="Q78" i="9"/>
  <c r="P41" i="9"/>
  <c r="Q41" i="9"/>
  <c r="N59" i="9"/>
  <c r="O65" i="9"/>
  <c r="Q65" i="9" s="1"/>
  <c r="M45" i="9"/>
  <c r="N27" i="9"/>
  <c r="N45" i="9" s="1"/>
  <c r="O28" i="9"/>
  <c r="P28" i="9" l="1"/>
  <c r="Q28" i="9"/>
  <c r="N81" i="9"/>
  <c r="P65" i="9"/>
  <c r="O59" i="9"/>
  <c r="Q59" i="9" s="1"/>
  <c r="O27" i="9"/>
  <c r="Q27" i="9" s="1"/>
  <c r="Z11" i="10" l="1"/>
  <c r="Z72" i="10" l="1"/>
  <c r="Z70" i="10"/>
  <c r="Y36" i="10"/>
  <c r="Y27" i="10"/>
  <c r="Y24" i="10"/>
  <c r="I81" i="9" l="1"/>
  <c r="Y28" i="10"/>
  <c r="Y100" i="10" s="1"/>
  <c r="Y101" i="10" s="1"/>
  <c r="W70" i="10"/>
  <c r="W11" i="10"/>
  <c r="V36" i="10" l="1"/>
  <c r="V24" i="10"/>
  <c r="V27" i="10"/>
  <c r="V28" i="10" l="1"/>
  <c r="V100" i="10" s="1"/>
  <c r="V101" i="10" l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P62" i="10" l="1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Q70" i="10"/>
  <c r="G36" i="10"/>
  <c r="G24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E16" i="10" s="1"/>
  <c r="AL20" i="10"/>
  <c r="AL92" i="10"/>
  <c r="AL57" i="10"/>
  <c r="O140" i="9"/>
  <c r="O138" i="9"/>
  <c r="O109" i="9"/>
  <c r="O108" i="9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O76" i="10"/>
  <c r="I76" i="10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L81" i="10"/>
  <c r="N136" i="9"/>
  <c r="M136" i="9"/>
  <c r="F86" i="14"/>
  <c r="F83" i="14"/>
  <c r="F74" i="14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W90" i="10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N84" i="9"/>
  <c r="AL53" i="10" s="1"/>
  <c r="M84" i="9"/>
  <c r="AI53" i="10" s="1"/>
  <c r="AF53" i="10"/>
  <c r="K84" i="9"/>
  <c r="AC53" i="10" s="1"/>
  <c r="J84" i="9"/>
  <c r="Z53" i="10" s="1"/>
  <c r="I84" i="9"/>
  <c r="W53" i="10" s="1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F12" i="10"/>
  <c r="AA16" i="10"/>
  <c r="Z12" i="10"/>
  <c r="W12" i="10"/>
  <c r="AL10" i="10"/>
  <c r="AI10" i="10"/>
  <c r="AF10" i="10"/>
  <c r="AC10" i="10"/>
  <c r="Z10" i="10"/>
  <c r="AL9" i="10"/>
  <c r="AI9" i="10"/>
  <c r="AF9" i="10"/>
  <c r="AC9" i="10"/>
  <c r="Z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Q76" i="10" l="1"/>
  <c r="AM81" i="10"/>
  <c r="AO81" i="10" s="1"/>
  <c r="AP81" i="10" s="1"/>
  <c r="P108" i="9"/>
  <c r="Q108" i="9"/>
  <c r="P109" i="9"/>
  <c r="Q109" i="9"/>
  <c r="P138" i="9"/>
  <c r="Q138" i="9"/>
  <c r="P140" i="9"/>
  <c r="Q140" i="9"/>
  <c r="O38" i="10"/>
  <c r="AM38" i="10" s="1"/>
  <c r="AO38" i="10" s="1"/>
  <c r="AP38" i="10" s="1"/>
  <c r="N38" i="10"/>
  <c r="N81" i="10"/>
  <c r="AI16" i="10"/>
  <c r="K38" i="10"/>
  <c r="K76" i="10"/>
  <c r="G28" i="10"/>
  <c r="W16" i="10"/>
  <c r="AT16" i="10" s="1"/>
  <c r="H16" i="10"/>
  <c r="F87" i="10"/>
  <c r="AM76" i="10"/>
  <c r="AO76" i="10" s="1"/>
  <c r="F50" i="10"/>
  <c r="E98" i="10"/>
  <c r="AC12" i="10"/>
  <c r="AM12" i="10"/>
  <c r="AC89" i="10"/>
  <c r="AA98" i="10"/>
  <c r="AA99" i="10" s="1"/>
  <c r="AF89" i="10"/>
  <c r="AD98" i="10"/>
  <c r="AD99" i="10" s="1"/>
  <c r="O131" i="9"/>
  <c r="Q131" i="9" s="1"/>
  <c r="O119" i="9"/>
  <c r="O102" i="9"/>
  <c r="F54" i="14"/>
  <c r="H54" i="14" s="1"/>
  <c r="O103" i="9"/>
  <c r="Q103" i="9" s="1"/>
  <c r="AF32" i="10"/>
  <c r="L81" i="9"/>
  <c r="AC32" i="10"/>
  <c r="K81" i="9"/>
  <c r="AI32" i="10"/>
  <c r="AI36" i="10" s="1"/>
  <c r="M81" i="9"/>
  <c r="Z32" i="10"/>
  <c r="J81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9" i="10"/>
  <c r="I64" i="14"/>
  <c r="K64" i="14" s="1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5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8" i="9"/>
  <c r="O139" i="9"/>
  <c r="P142" i="9"/>
  <c r="D14" i="9"/>
  <c r="P132" i="9"/>
  <c r="O92" i="9"/>
  <c r="P104" i="9"/>
  <c r="O141" i="9"/>
  <c r="O50" i="9"/>
  <c r="Q50" i="9" s="1"/>
  <c r="O94" i="9"/>
  <c r="I56" i="14"/>
  <c r="K56" i="14" s="1"/>
  <c r="P120" i="9"/>
  <c r="P7" i="9"/>
  <c r="O51" i="9"/>
  <c r="O95" i="9"/>
  <c r="O6" i="9"/>
  <c r="O84" i="9"/>
  <c r="I40" i="14"/>
  <c r="K40" i="14" s="1"/>
  <c r="O106" i="9"/>
  <c r="O112" i="9"/>
  <c r="O135" i="9"/>
  <c r="P52" i="9"/>
  <c r="O107" i="9"/>
  <c r="O133" i="9"/>
  <c r="P33" i="9"/>
  <c r="O88" i="9"/>
  <c r="O110" i="9"/>
  <c r="P89" i="9"/>
  <c r="O96" i="9"/>
  <c r="O111" i="9"/>
  <c r="O134" i="9"/>
  <c r="O15" i="9"/>
  <c r="O47" i="9"/>
  <c r="P98" i="9"/>
  <c r="P100" i="9"/>
  <c r="O113" i="9"/>
  <c r="O136" i="9"/>
  <c r="P8" i="9"/>
  <c r="O16" i="9"/>
  <c r="Q16" i="9" s="1"/>
  <c r="O85" i="9"/>
  <c r="O137" i="9"/>
  <c r="C36" i="10"/>
  <c r="O86" i="9"/>
  <c r="O114" i="9"/>
  <c r="O80" i="9"/>
  <c r="Q80" i="9" s="1"/>
  <c r="P10" i="9"/>
  <c r="P36" i="9"/>
  <c r="P13" i="9"/>
  <c r="O44" i="14"/>
  <c r="Q44" i="14" s="1"/>
  <c r="O90" i="9"/>
  <c r="P73" i="9"/>
  <c r="P37" i="9"/>
  <c r="P27" i="9"/>
  <c r="P17" i="9"/>
  <c r="C14" i="9"/>
  <c r="T156" i="9"/>
  <c r="AT24" i="10" l="1"/>
  <c r="R6" i="9"/>
  <c r="P6" i="9"/>
  <c r="P103" i="9"/>
  <c r="AP76" i="10"/>
  <c r="P131" i="9"/>
  <c r="P141" i="9"/>
  <c r="Q141" i="9"/>
  <c r="P111" i="9"/>
  <c r="Q111" i="9"/>
  <c r="Q30" i="10"/>
  <c r="O36" i="10"/>
  <c r="P85" i="9"/>
  <c r="Q85" i="9"/>
  <c r="P90" i="9"/>
  <c r="Q90" i="9"/>
  <c r="P88" i="9"/>
  <c r="Q88" i="9"/>
  <c r="P95" i="9"/>
  <c r="Q95" i="9"/>
  <c r="P102" i="9"/>
  <c r="Q102" i="9"/>
  <c r="P134" i="9"/>
  <c r="Q134" i="9"/>
  <c r="P113" i="9"/>
  <c r="Q113" i="9"/>
  <c r="P139" i="9"/>
  <c r="Q139" i="9"/>
  <c r="P106" i="9"/>
  <c r="Q106" i="9"/>
  <c r="P133" i="9"/>
  <c r="Q133" i="9"/>
  <c r="P107" i="9"/>
  <c r="Q107" i="9"/>
  <c r="P86" i="9"/>
  <c r="Q86" i="9"/>
  <c r="P51" i="9"/>
  <c r="Q51" i="9"/>
  <c r="P94" i="9"/>
  <c r="Q94" i="9"/>
  <c r="Q38" i="10"/>
  <c r="P110" i="9"/>
  <c r="Q110" i="9"/>
  <c r="P135" i="9"/>
  <c r="Q135" i="9"/>
  <c r="P96" i="9"/>
  <c r="Q96" i="9"/>
  <c r="P114" i="9"/>
  <c r="Q114" i="9"/>
  <c r="P15" i="9"/>
  <c r="Q15" i="9"/>
  <c r="P47" i="9"/>
  <c r="Q47" i="9"/>
  <c r="AC16" i="10"/>
  <c r="P92" i="9"/>
  <c r="Q92" i="9"/>
  <c r="P112" i="9"/>
  <c r="Q112" i="9"/>
  <c r="P119" i="9"/>
  <c r="Q119" i="9"/>
  <c r="P84" i="9"/>
  <c r="Q84" i="9"/>
  <c r="P136" i="9"/>
  <c r="Q136" i="9"/>
  <c r="P137" i="9"/>
  <c r="Q137" i="9"/>
  <c r="AO12" i="10"/>
  <c r="AM16" i="10"/>
  <c r="Q6" i="9"/>
  <c r="D101" i="10"/>
  <c r="T16" i="10"/>
  <c r="Q16" i="10"/>
  <c r="F99" i="10"/>
  <c r="F100" i="10" s="1"/>
  <c r="Q96" i="10"/>
  <c r="AM96" i="10"/>
  <c r="AO96" i="10" s="1"/>
  <c r="N91" i="10"/>
  <c r="AM91" i="10"/>
  <c r="AO91" i="10" s="1"/>
  <c r="AP91" i="10" s="1"/>
  <c r="L98" i="10"/>
  <c r="AM71" i="10"/>
  <c r="AO71" i="10" s="1"/>
  <c r="AM89" i="10"/>
  <c r="AQ89" i="10" s="1"/>
  <c r="T96" i="10"/>
  <c r="R98" i="10"/>
  <c r="R99" i="10" s="1"/>
  <c r="Q90" i="10"/>
  <c r="AM90" i="10"/>
  <c r="AO90" i="10" s="1"/>
  <c r="Q89" i="10"/>
  <c r="O98" i="10"/>
  <c r="AC36" i="10"/>
  <c r="AA36" i="10"/>
  <c r="Z36" i="10"/>
  <c r="P55" i="9"/>
  <c r="O81" i="9"/>
  <c r="Q81" i="9" s="1"/>
  <c r="AG36" i="10"/>
  <c r="P16" i="9"/>
  <c r="O45" i="9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H40" i="14"/>
  <c r="K93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Q14" i="9" s="1"/>
  <c r="AP71" i="10" l="1"/>
  <c r="K98" i="10"/>
  <c r="P45" i="9"/>
  <c r="Q45" i="9"/>
  <c r="AP90" i="10"/>
  <c r="AP96" i="10"/>
  <c r="P91" i="9"/>
  <c r="Q91" i="9"/>
  <c r="AP12" i="10"/>
  <c r="AO16" i="10"/>
  <c r="AP16" i="10" s="1"/>
  <c r="K16" i="10"/>
  <c r="AQ96" i="10"/>
  <c r="AQ90" i="10"/>
  <c r="AQ6" i="10"/>
  <c r="H98" i="10"/>
  <c r="R100" i="10"/>
  <c r="R101" i="10" s="1"/>
  <c r="AQ22" i="10"/>
  <c r="AO22" i="10"/>
  <c r="AQ21" i="10"/>
  <c r="AO21" i="10"/>
  <c r="AP21" i="10" s="1"/>
  <c r="AQ30" i="10"/>
  <c r="AO30" i="10"/>
  <c r="AQ91" i="10"/>
  <c r="AO89" i="10"/>
  <c r="AM98" i="10"/>
  <c r="AQ34" i="10"/>
  <c r="AO34" i="10"/>
  <c r="AQ33" i="10"/>
  <c r="AO33" i="10"/>
  <c r="AQ32" i="10"/>
  <c r="AO32" i="10"/>
  <c r="AQ31" i="10"/>
  <c r="AO31" i="10"/>
  <c r="AR36" i="10"/>
  <c r="AQ18" i="10"/>
  <c r="AO18" i="10"/>
  <c r="AP18" i="10" s="1"/>
  <c r="AQ26" i="10"/>
  <c r="AO26" i="10"/>
  <c r="AQ71" i="10"/>
  <c r="AQ23" i="10"/>
  <c r="AO23" i="10"/>
  <c r="AQ35" i="10"/>
  <c r="AO35" i="10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P30" i="10" l="1"/>
  <c r="AP31" i="10"/>
  <c r="O40" i="14"/>
  <c r="Q40" i="14" s="1"/>
  <c r="O41" i="10"/>
  <c r="AP22" i="10"/>
  <c r="AP35" i="10"/>
  <c r="AP89" i="10"/>
  <c r="AP34" i="10"/>
  <c r="AP32" i="10"/>
  <c r="AP33" i="10"/>
  <c r="AP23" i="10"/>
  <c r="AP26" i="10"/>
  <c r="AQ16" i="10"/>
  <c r="AC12" i="14"/>
  <c r="AD6" i="14"/>
  <c r="AC34" i="14"/>
  <c r="AD34" i="14" s="1"/>
  <c r="AD25" i="14"/>
  <c r="AC20" i="14"/>
  <c r="AD20" i="14" s="1"/>
  <c r="AD13" i="14"/>
  <c r="N93" i="10"/>
  <c r="N66" i="10"/>
  <c r="R68" i="14"/>
  <c r="Q66" i="10"/>
  <c r="N54" i="10"/>
  <c r="Q41" i="10" l="1"/>
  <c r="AM41" i="10"/>
  <c r="AO41" i="10" s="1"/>
  <c r="N98" i="10"/>
  <c r="Q93" i="10"/>
  <c r="R40" i="14"/>
  <c r="T68" i="14"/>
  <c r="AA68" i="14"/>
  <c r="AC68" i="14" s="1"/>
  <c r="AD68" i="14" s="1"/>
  <c r="R56" i="14"/>
  <c r="AD12" i="14"/>
  <c r="Q54" i="10"/>
  <c r="T157" i="9"/>
  <c r="Q98" i="10" l="1"/>
  <c r="AP41" i="10"/>
  <c r="W93" i="10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Q105" i="9" s="1"/>
  <c r="AI66" i="10"/>
  <c r="AF66" i="10"/>
  <c r="AF93" i="10"/>
  <c r="AF98" i="10" s="1"/>
  <c r="AL93" i="10"/>
  <c r="AL98" i="10" s="1"/>
  <c r="O115" i="9" l="1"/>
  <c r="AQ93" i="10"/>
  <c r="AL54" i="10"/>
  <c r="P105" i="9"/>
  <c r="AL66" i="10"/>
  <c r="O87" i="9"/>
  <c r="P87" i="9" l="1"/>
  <c r="Q87" i="9"/>
  <c r="P115" i="9"/>
  <c r="Q115" i="9"/>
  <c r="AQ54" i="10"/>
  <c r="U50" i="8"/>
  <c r="AO98" i="10" l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8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100" i="10" l="1"/>
  <c r="Q36" i="10"/>
  <c r="P27" i="10"/>
  <c r="P28" i="10" s="1"/>
  <c r="J101" i="10" l="1"/>
  <c r="P100" i="10"/>
  <c r="P101" i="10" l="1"/>
  <c r="AI17" i="10"/>
  <c r="AI24" i="10" s="1"/>
  <c r="AH24" i="10"/>
  <c r="AH28" i="10" s="1"/>
  <c r="AH100" i="10" s="1"/>
  <c r="AH101" i="10" s="1"/>
  <c r="AR24" i="10" l="1"/>
  <c r="AK24" i="10" l="1"/>
  <c r="AL17" i="10"/>
  <c r="AL24" i="10" s="1"/>
  <c r="AK36" i="10" l="1"/>
  <c r="AL29" i="10"/>
  <c r="AL36" i="10" s="1"/>
  <c r="AN29" i="10"/>
  <c r="AO29" i="10" s="1"/>
  <c r="AK27" i="10"/>
  <c r="AK28" i="10" s="1"/>
  <c r="AK100" i="10" s="1"/>
  <c r="AK101" i="10" s="1"/>
  <c r="AN25" i="10"/>
  <c r="AN36" i="10" l="1"/>
  <c r="AN27" i="10"/>
  <c r="AO36" i="10" l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1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Q25" i="10" s="1"/>
  <c r="F48" i="9"/>
  <c r="F49" i="9" s="1"/>
  <c r="L21" i="14"/>
  <c r="AE24" i="14"/>
  <c r="K28" i="10" l="1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J83" i="9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K83" i="9"/>
  <c r="C143" i="9"/>
  <c r="C144" i="9" s="1"/>
  <c r="J46" i="9"/>
  <c r="W25" i="10"/>
  <c r="W27" i="10" s="1"/>
  <c r="I48" i="9"/>
  <c r="I49" i="9" s="1"/>
  <c r="H49" i="9"/>
  <c r="R23" i="14"/>
  <c r="AA21" i="14"/>
  <c r="AF24" i="14"/>
  <c r="B143" i="9"/>
  <c r="W28" i="10" l="1"/>
  <c r="AT27" i="10"/>
  <c r="C87" i="10"/>
  <c r="C99" i="10" s="1"/>
  <c r="C100" i="10" s="1"/>
  <c r="E52" i="10"/>
  <c r="E87" i="10" s="1"/>
  <c r="E99" i="10" s="1"/>
  <c r="E100" i="10" s="1"/>
  <c r="B87" i="10"/>
  <c r="B99" i="10" s="1"/>
  <c r="B100" i="10" s="1"/>
  <c r="C145" i="9"/>
  <c r="L83" i="9"/>
  <c r="I52" i="10"/>
  <c r="I87" i="10" s="1"/>
  <c r="I99" i="10" s="1"/>
  <c r="I100" i="10" s="1"/>
  <c r="F35" i="14"/>
  <c r="D143" i="9"/>
  <c r="AA23" i="14"/>
  <c r="AA24" i="14" s="1"/>
  <c r="AC21" i="14"/>
  <c r="R24" i="14"/>
  <c r="K46" i="9"/>
  <c r="J48" i="9"/>
  <c r="J49" i="9" s="1"/>
  <c r="P149" i="9"/>
  <c r="E101" i="10" l="1"/>
  <c r="I101" i="10"/>
  <c r="C101" i="10"/>
  <c r="D144" i="9"/>
  <c r="D145" i="9" s="1"/>
  <c r="B101" i="10"/>
  <c r="H35" i="14"/>
  <c r="H87" i="14" s="1"/>
  <c r="F87" i="14"/>
  <c r="F88" i="14" s="1"/>
  <c r="F89" i="14" s="1"/>
  <c r="M83" i="9"/>
  <c r="L52" i="10"/>
  <c r="L87" i="10" s="1"/>
  <c r="L99" i="10" s="1"/>
  <c r="L100" i="10" s="1"/>
  <c r="I35" i="14"/>
  <c r="E143" i="9"/>
  <c r="E144" i="9" s="1"/>
  <c r="L46" i="9"/>
  <c r="K48" i="9"/>
  <c r="AC23" i="14"/>
  <c r="AD21" i="14"/>
  <c r="L101" i="10" l="1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C28" i="10" s="1"/>
  <c r="AA27" i="10"/>
  <c r="AA28" i="10" s="1"/>
  <c r="AA100" i="10" s="1"/>
  <c r="AA101" i="10" s="1"/>
  <c r="M46" i="9"/>
  <c r="L48" i="9"/>
  <c r="L49" i="9" s="1"/>
  <c r="U100" i="10" l="1"/>
  <c r="U101" i="10" s="1"/>
  <c r="G144" i="9"/>
  <c r="K87" i="10"/>
  <c r="N52" i="10"/>
  <c r="N87" i="10" s="1"/>
  <c r="N99" i="10" s="1"/>
  <c r="O52" i="10"/>
  <c r="O35" i="14"/>
  <c r="AE88" i="14"/>
  <c r="H89" i="14"/>
  <c r="AE89" i="14" s="1"/>
  <c r="O83" i="9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6" i="9"/>
  <c r="M48" i="9"/>
  <c r="M49" i="9" s="1"/>
  <c r="O87" i="10" l="1"/>
  <c r="O99" i="10" s="1"/>
  <c r="O100" i="10" s="1"/>
  <c r="AM104" i="10" s="1"/>
  <c r="AM52" i="10"/>
  <c r="AM87" i="10" s="1"/>
  <c r="AM99" i="10" s="1"/>
  <c r="P83" i="9"/>
  <c r="Q83" i="9"/>
  <c r="K99" i="10"/>
  <c r="N100" i="10"/>
  <c r="Q35" i="14"/>
  <c r="Q87" i="14" s="1"/>
  <c r="O87" i="14"/>
  <c r="O88" i="14" s="1"/>
  <c r="I82" i="9"/>
  <c r="R35" i="14"/>
  <c r="H143" i="9"/>
  <c r="G145" i="9"/>
  <c r="Q52" i="10"/>
  <c r="Q87" i="10" s="1"/>
  <c r="Q99" i="10" s="1"/>
  <c r="AG27" i="10"/>
  <c r="AG28" i="10" s="1"/>
  <c r="AG100" i="10" s="1"/>
  <c r="AG101" i="10" s="1"/>
  <c r="AI25" i="10"/>
  <c r="AI27" i="10" s="1"/>
  <c r="N48" i="9"/>
  <c r="O46" i="9"/>
  <c r="Q46" i="9" s="1"/>
  <c r="H144" i="9" l="1"/>
  <c r="H145" i="9" s="1"/>
  <c r="O101" i="10"/>
  <c r="Q100" i="10"/>
  <c r="K100" i="10"/>
  <c r="N101" i="10"/>
  <c r="T35" i="14"/>
  <c r="T87" i="14" s="1"/>
  <c r="T88" i="14" s="1"/>
  <c r="T89" i="14" s="1"/>
  <c r="R87" i="14"/>
  <c r="R88" i="14" s="1"/>
  <c r="J82" i="9"/>
  <c r="I143" i="9"/>
  <c r="I144" i="9" s="1"/>
  <c r="U107" i="10" s="1"/>
  <c r="AA35" i="14"/>
  <c r="T52" i="10"/>
  <c r="P91" i="14"/>
  <c r="O89" i="14"/>
  <c r="AF88" i="14"/>
  <c r="Q88" i="14"/>
  <c r="Q89" i="14" s="1"/>
  <c r="X28" i="10"/>
  <c r="X100" i="10" s="1"/>
  <c r="X101" i="10" s="1"/>
  <c r="N49" i="9"/>
  <c r="O48" i="9"/>
  <c r="Q48" i="9" s="1"/>
  <c r="P46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R90" i="14" l="1"/>
  <c r="T87" i="10"/>
  <c r="T99" i="10" s="1"/>
  <c r="Q101" i="10"/>
  <c r="K101" i="10"/>
  <c r="AC35" i="14"/>
  <c r="W52" i="10"/>
  <c r="W87" i="10" s="1"/>
  <c r="W99" i="10" s="1"/>
  <c r="I145" i="9"/>
  <c r="U106" i="10" s="1"/>
  <c r="R89" i="14"/>
  <c r="K82" i="9"/>
  <c r="J143" i="9"/>
  <c r="J144" i="9" s="1"/>
  <c r="O49" i="9"/>
  <c r="Q49" i="9" s="1"/>
  <c r="P48" i="9"/>
  <c r="AR28" i="10"/>
  <c r="AQ25" i="10"/>
  <c r="AM27" i="10"/>
  <c r="AO25" i="10"/>
  <c r="W100" i="10" l="1"/>
  <c r="AT100" i="10" s="1"/>
  <c r="J145" i="9"/>
  <c r="Z52" i="10"/>
  <c r="Z87" i="10" s="1"/>
  <c r="Z99" i="10" s="1"/>
  <c r="Z100" i="10" s="1"/>
  <c r="Z101" i="10" s="1"/>
  <c r="AD35" i="14"/>
  <c r="L82" i="9"/>
  <c r="K143" i="9"/>
  <c r="K144" i="9" s="1"/>
  <c r="AQ27" i="10"/>
  <c r="AM28" i="10"/>
  <c r="AM100" i="10" s="1"/>
  <c r="AM101" i="10" s="1"/>
  <c r="AO27" i="10"/>
  <c r="AP25" i="10"/>
  <c r="P49" i="9"/>
  <c r="W101" i="10" l="1"/>
  <c r="AC52" i="10"/>
  <c r="AC87" i="10" s="1"/>
  <c r="AC99" i="10" s="1"/>
  <c r="AC100" i="10" s="1"/>
  <c r="AC101" i="10" s="1"/>
  <c r="X106" i="10"/>
  <c r="K145" i="9"/>
  <c r="M82" i="9"/>
  <c r="L143" i="9"/>
  <c r="L144" i="9" s="1"/>
  <c r="AQ28" i="10"/>
  <c r="AP27" i="10"/>
  <c r="AA106" i="10" l="1"/>
  <c r="L145" i="9"/>
  <c r="N82" i="9"/>
  <c r="M143" i="9"/>
  <c r="M144" i="9" s="1"/>
  <c r="AF52" i="10"/>
  <c r="AF87" i="10" s="1"/>
  <c r="AF99" i="10" s="1"/>
  <c r="AF100" i="10" s="1"/>
  <c r="AF101" i="10" s="1"/>
  <c r="AI52" i="10" l="1"/>
  <c r="AI87" i="10" s="1"/>
  <c r="AI99" i="10" s="1"/>
  <c r="AI100" i="10" s="1"/>
  <c r="AI101" i="10" s="1"/>
  <c r="AD106" i="10"/>
  <c r="N143" i="9"/>
  <c r="N144" i="9" s="1"/>
  <c r="O82" i="9"/>
  <c r="Q82" i="9" s="1"/>
  <c r="M145" i="9"/>
  <c r="AL52" i="10" l="1"/>
  <c r="AL87" i="10" s="1"/>
  <c r="AL99" i="10" s="1"/>
  <c r="AL100" i="10" s="1"/>
  <c r="AL101" i="10" s="1"/>
  <c r="N145" i="9"/>
  <c r="AQ52" i="10"/>
  <c r="AG106" i="10"/>
  <c r="P82" i="9"/>
  <c r="AR99" i="10"/>
  <c r="AR100" i="10" l="1"/>
  <c r="AR101" i="10" l="1"/>
  <c r="B144" i="9" l="1"/>
  <c r="AM105" i="10" s="1"/>
  <c r="AM106" i="10" s="1"/>
  <c r="P59" i="9"/>
  <c r="P148" i="9" l="1"/>
  <c r="B102" i="10"/>
  <c r="P150" i="9"/>
  <c r="B145" i="9"/>
  <c r="O93" i="9"/>
  <c r="L46" i="14"/>
  <c r="L87" i="14" s="1"/>
  <c r="L88" i="14" s="1"/>
  <c r="F143" i="9"/>
  <c r="F144" i="9" s="1"/>
  <c r="N147" i="9" s="1"/>
  <c r="O143" i="9" l="1"/>
  <c r="Q143" i="9" s="1"/>
  <c r="Q93" i="9"/>
  <c r="F145" i="9"/>
  <c r="AB92" i="14"/>
  <c r="R92" i="14"/>
  <c r="L89" i="14"/>
  <c r="P93" i="9"/>
  <c r="N46" i="14"/>
  <c r="N87" i="14" s="1"/>
  <c r="N88" i="14" s="1"/>
  <c r="N89" i="14" s="1"/>
  <c r="AB93" i="14" s="1"/>
  <c r="AA46" i="14"/>
  <c r="O144" i="9" l="1"/>
  <c r="Q144" i="9" s="1"/>
  <c r="P143" i="9"/>
  <c r="AC46" i="14"/>
  <c r="AA87" i="14"/>
  <c r="AA88" i="14" s="1"/>
  <c r="AA89" i="14" s="1"/>
  <c r="AQ99" i="10"/>
  <c r="O145" i="9" l="1"/>
  <c r="P145" i="9" s="1"/>
  <c r="P144" i="9"/>
  <c r="N148" i="9"/>
  <c r="N149" i="9" s="1"/>
  <c r="AQ100" i="10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O52" i="10"/>
  <c r="H101" i="10" l="1"/>
  <c r="G101" i="10"/>
  <c r="AO87" i="10"/>
  <c r="AP52" i="10"/>
  <c r="AP87" i="10" l="1"/>
  <c r="AN37" i="10"/>
  <c r="M50" i="10"/>
  <c r="M99" i="10" s="1"/>
  <c r="M100" i="10" s="1"/>
  <c r="M101" i="10" l="1"/>
  <c r="AN50" i="10"/>
  <c r="AN99" i="10" s="1"/>
  <c r="AO37" i="10"/>
  <c r="AO50" i="10" l="1"/>
  <c r="AP37" i="10"/>
  <c r="AO99" i="10" l="1"/>
  <c r="AP50" i="10"/>
  <c r="AP99" i="10" l="1"/>
  <c r="S17" i="10" l="1"/>
  <c r="S24" i="10" l="1"/>
  <c r="S28" i="10" s="1"/>
  <c r="S100" i="10" s="1"/>
  <c r="AN104" i="10" s="1"/>
  <c r="T17" i="10"/>
  <c r="T24" i="10" s="1"/>
  <c r="AN17" i="10"/>
  <c r="T28" i="10" l="1"/>
  <c r="AO17" i="10"/>
  <c r="AN24" i="10"/>
  <c r="AN28" i="10" s="1"/>
  <c r="AN100" i="10" s="1"/>
  <c r="S101" i="10"/>
  <c r="T100" i="10" l="1"/>
  <c r="AN101" i="10"/>
  <c r="AS100" i="10"/>
  <c r="AP17" i="10"/>
  <c r="AO24" i="10"/>
  <c r="AO104" i="10" l="1"/>
  <c r="AP24" i="10"/>
  <c r="AO28" i="10"/>
  <c r="AP28" i="10" s="1"/>
  <c r="T101" i="10"/>
  <c r="AO100" i="10" l="1"/>
  <c r="AP100" i="10" s="1"/>
  <c r="AO101" i="10" l="1"/>
  <c r="AP101" i="10" s="1"/>
  <c r="AO105" i="10"/>
  <c r="B34" i="9" l="1"/>
  <c r="G146" i="9" l="1"/>
  <c r="G160" i="9" l="1"/>
  <c r="G147" i="9"/>
  <c r="G150" i="9" s="1"/>
</calcChain>
</file>

<file path=xl/sharedStrings.xml><?xml version="1.0" encoding="utf-8"?>
<sst xmlns="http://schemas.openxmlformats.org/spreadsheetml/2006/main" count="511" uniqueCount="201">
  <si>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</si>
  <si>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</si>
  <si>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</si>
  <si>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</si>
  <si>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</si>
  <si>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</si>
  <si>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</si>
  <si>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</si>
  <si>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</si>
  <si>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</si>
  <si>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</si>
  <si>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</si>
  <si>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</si>
  <si>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</si>
  <si>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</si>
  <si>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</si>
  <si>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</si>
  <si>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</si>
  <si>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</si>
  <si>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</si>
  <si>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</si>
  <si>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</si>
  <si>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</si>
  <si>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</si>
  <si>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</si>
  <si>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</si>
  <si>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</si>
  <si>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</si>
  <si>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</si>
  <si>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</si>
  <si>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</si>
  <si>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</si>
  <si>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</si>
  <si>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</si>
  <si>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</si>
  <si>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</si>
  <si>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</si>
  <si>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</si>
  <si>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</si>
  <si>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</si>
  <si>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</si>
  <si>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</si>
  <si>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</si>
  <si>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</si>
  <si>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</si>
  <si>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</si>
  <si>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</si>
  <si>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</si>
  <si>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</si>
  <si>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</si>
  <si>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</si>
  <si>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</si>
  <si>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</si>
  <si>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</si>
  <si>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</si>
  <si>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</si>
  <si>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</si>
  <si>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</si>
  <si>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</si>
  <si>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</si>
  <si>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</si>
  <si>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</si>
  <si>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</si>
  <si>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</si>
  <si>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</si>
  <si>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</si>
  <si>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</si>
  <si>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</si>
  <si>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</si>
  <si>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</si>
  <si>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</si>
  <si>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</si>
  <si>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</si>
  <si>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</si>
  <si>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</si>
  <si>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</si>
  <si>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</si>
  <si>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</si>
  <si>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</si>
  <si>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</si>
  <si>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</si>
  <si>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</si>
  <si>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</si>
  <si>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</si>
  <si>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</si>
  <si>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</si>
  <si>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</si>
  <si>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</si>
  <si>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</si>
  <si>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</si>
  <si>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</si>
  <si>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</si>
  <si>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</si>
  <si>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</si>
  <si>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</si>
  <si>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</si>
  <si>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</si>
  <si>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</si>
  <si>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</si>
  <si>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</si>
  <si>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</si>
  <si>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</si>
  <si>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</si>
  <si>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</si>
  <si>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</si>
  <si>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</si>
  <si>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</si>
  <si>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</si>
  <si>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</si>
  <si>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</si>
  <si>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</si>
  <si>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</si>
  <si>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</si>
  <si>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</si>
  <si>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</si>
  <si>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</si>
  <si>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</si>
  <si>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</si>
  <si>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</si>
  <si>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</si>
  <si>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</si>
  <si>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</si>
  <si>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</si>
  <si>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</si>
  <si>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</si>
  <si>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</si>
  <si>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</si>
  <si>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</si>
  <si>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</si>
  <si>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</si>
  <si>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</si>
  <si>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</si>
  <si>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</si>
  <si>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</si>
  <si>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</si>
  <si>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</si>
  <si>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</si>
  <si>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</si>
  <si>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</si>
  <si>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</si>
  <si>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</si>
  <si>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</si>
  <si>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</si>
  <si>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</si>
  <si>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</si>
  <si>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</si>
  <si>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</si>
  <si>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</si>
  <si>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</si>
  <si>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</si>
  <si>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</si>
  <si>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</si>
  <si>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</si>
  <si>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</si>
  <si>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</si>
  <si>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</si>
  <si>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</si>
  <si>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</si>
  <si>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</si>
  <si>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</si>
  <si>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</si>
  <si>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</si>
  <si>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</si>
  <si>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</si>
  <si>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</si>
  <si>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</si>
  <si>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</si>
  <si>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</si>
  <si>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</si>
  <si>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</si>
  <si>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</si>
  <si>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</si>
  <si>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</si>
  <si>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</si>
  <si>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</si>
  <si>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</si>
  <si>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</si>
  <si>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</si>
  <si>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</si>
  <si>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</si>
  <si>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</si>
  <si>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</si>
  <si>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</si>
  <si>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</si>
  <si>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</si>
  <si>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</si>
  <si>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</si>
  <si>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</si>
  <si>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</si>
  <si>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</si>
  <si>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</si>
  <si>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</si>
  <si>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</si>
  <si>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</si>
  <si>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</si>
  <si>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</si>
  <si>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</si>
  <si>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</si>
  <si>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</si>
  <si>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</si>
  <si>
    <t>Captacion Ac/revisar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</si>
</sst>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0" fontId="0" fillId="10" borderId="6" xfId="0" applyFill="1" applyBorder="1" applyAlignment="1">
      <alignment horizontal="justify" wrapText="1"/>
    </xf>
    <xf numFmtId="0" fontId="0" fillId="12" borderId="6" xfId="0" applyFill="1" applyBorder="1"/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/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microsoft.com/office/2017/10/relationships/person" Target="persons/person2.xml"/><Relationship Id="rId21" Type="http://schemas.openxmlformats.org/officeDocument/2006/relationships/sharedStrings" Target="sharedStrings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2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3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styles" Target="styles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Situacionfraint202407V1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W326">
            <v>0</v>
          </cell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 refreshError="1"/>
      <sheetData sheetId="1" refreshError="1"/>
      <sheetData sheetId="2" refreshError="1"/>
      <sheetData sheetId="3" refreshError="1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 refreshError="1"/>
      <sheetData sheetId="1" refreshError="1"/>
      <sheetData sheetId="2">
        <row r="48">
          <cell r="C48">
            <v>-730258571.13999999</v>
          </cell>
        </row>
      </sheetData>
      <sheetData sheetId="3">
        <row r="100">
          <cell r="C100">
            <v>-4070011436.2299924</v>
          </cell>
        </row>
      </sheetData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14">
          <cell r="P14">
            <v>40000000</v>
          </cell>
        </row>
        <row r="15">
          <cell r="P15">
            <v>5000000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27">
          <cell r="P27">
            <v>10000000</v>
          </cell>
        </row>
        <row r="30">
          <cell r="P30">
            <v>30000000</v>
          </cell>
        </row>
        <row r="31">
          <cell r="P31">
            <v>3750000</v>
          </cell>
        </row>
        <row r="54">
          <cell r="P54">
            <v>8200000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  <row r="189">
          <cell r="G189">
            <v>141000000</v>
          </cell>
        </row>
        <row r="190">
          <cell r="P190">
            <v>748628004.89410889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4">
          <cell r="R14">
            <v>150000000</v>
          </cell>
        </row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01" t="s">
        <v>51</v>
      </c>
      <c r="B1" s="101"/>
      <c r="C1" s="101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23"/>
      <c r="AF3" s="23"/>
      <c r="AG3" s="23"/>
    </row>
    <row r="4" spans="1:41" ht="15.75" thickBot="1" x14ac:dyDescent="0.3">
      <c r="A4" s="23"/>
      <c r="B4" s="23"/>
      <c r="C4" s="103" t="s">
        <v>105</v>
      </c>
      <c r="D4" s="104"/>
      <c r="E4" s="105"/>
      <c r="F4" s="103" t="s">
        <v>107</v>
      </c>
      <c r="G4" s="104"/>
      <c r="H4" s="105"/>
      <c r="I4" s="103" t="s">
        <v>109</v>
      </c>
      <c r="J4" s="104"/>
      <c r="K4" s="105"/>
      <c r="L4" s="103" t="s">
        <v>112</v>
      </c>
      <c r="M4" s="104"/>
      <c r="N4" s="105"/>
      <c r="O4" s="103" t="s">
        <v>113</v>
      </c>
      <c r="P4" s="104"/>
      <c r="Q4" s="105"/>
      <c r="R4" s="103" t="s">
        <v>115</v>
      </c>
      <c r="S4" s="104"/>
      <c r="T4" s="105"/>
      <c r="U4" s="23"/>
      <c r="V4" s="23"/>
      <c r="W4" s="23"/>
      <c r="X4" s="23"/>
      <c r="Y4" s="23"/>
      <c r="Z4" s="23"/>
      <c r="AA4" s="106" t="s">
        <v>48</v>
      </c>
      <c r="AB4" s="107"/>
      <c r="AC4" s="107"/>
      <c r="AD4" s="108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111000000</v>
      </c>
      <c r="P15" s="4" t="e">
        <f>+#REF!</f>
        <v>#REF!</v>
      </c>
      <c r="Q15" s="4" t="e">
        <f t="shared" si="13"/>
        <v>#REF!</v>
      </c>
      <c r="R15" s="4">
        <f>+'202401anual'!H17</f>
        <v>64000000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242833200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40000000</v>
      </c>
      <c r="P16" s="4" t="e">
        <f>+#REF!</f>
        <v>#REF!</v>
      </c>
      <c r="Q16" s="4" t="e">
        <f t="shared" si="13"/>
        <v>#REF!</v>
      </c>
      <c r="R16" s="4">
        <f>+'202401anual'!H27</f>
        <v>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504032350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2"/>
        <v>#REF!</v>
      </c>
      <c r="O18" s="4">
        <f>+'202401anual'!G36</f>
        <v>0</v>
      </c>
      <c r="P18" s="4" t="e">
        <f>+#REF!</f>
        <v>#REF!</v>
      </c>
      <c r="Q18" s="4" t="e">
        <f t="shared" si="13"/>
        <v>#REF!</v>
      </c>
      <c r="R18" s="4">
        <f>+'202401anual'!H36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2"/>
        <v>#REF!</v>
      </c>
      <c r="O19" s="4">
        <f>+'202401anual'!G37</f>
        <v>18015000</v>
      </c>
      <c r="P19" s="4" t="e">
        <f>+#REF!</f>
        <v>#REF!</v>
      </c>
      <c r="Q19" s="4" t="e">
        <f t="shared" si="13"/>
        <v>#REF!</v>
      </c>
      <c r="R19" s="4">
        <f>+'202401anual'!H37</f>
        <v>28015000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184475000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184268194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250298194</v>
      </c>
      <c r="P20" s="8" t="e">
        <f t="shared" si="17"/>
        <v>#REF!</v>
      </c>
      <c r="Q20" s="8" t="e">
        <f t="shared" si="17"/>
        <v>#VALUE!</v>
      </c>
      <c r="R20" s="8">
        <f>+'202401anual'!H45</f>
        <v>222648194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1466858858.3301342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+'202401anual'!H46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 t="shared" si="19"/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 t="shared" si="20"/>
        <v>-31735</v>
      </c>
      <c r="O22" s="4">
        <f>+'202401anual'!G47</f>
        <v>17250000</v>
      </c>
      <c r="P22" s="4">
        <v>31735</v>
      </c>
      <c r="Q22" s="4">
        <f t="shared" si="21"/>
        <v>17218265</v>
      </c>
      <c r="R22" s="4">
        <f>+'202401anual'!H47</f>
        <v>22750000</v>
      </c>
      <c r="S22" s="4"/>
      <c r="T22" s="4">
        <f t="shared" si="22"/>
        <v>22750000</v>
      </c>
      <c r="U22" s="4"/>
      <c r="V22" s="4"/>
      <c r="W22" s="4"/>
      <c r="X22" s="4"/>
      <c r="Y22" s="4"/>
      <c r="Z22" s="4"/>
      <c r="AA22" s="4">
        <f t="shared" si="23"/>
        <v>113250000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21004480.269106481</v>
      </c>
      <c r="P23" s="8">
        <f t="shared" si="25"/>
        <v>31735</v>
      </c>
      <c r="Q23" s="8" t="e">
        <f t="shared" si="25"/>
        <v>#VALUE!</v>
      </c>
      <c r="R23" s="8">
        <f>+'202401anual'!H48</f>
        <v>26504480.269106481</v>
      </c>
      <c r="S23" s="8">
        <f t="shared" si="25"/>
        <v>0</v>
      </c>
      <c r="T23" s="8">
        <f t="shared" si="25"/>
        <v>26504480.269106481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135407984.92208105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208022674.26910648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271302674.26910651</v>
      </c>
      <c r="P24" s="8" t="e">
        <f t="shared" si="26"/>
        <v>#REF!</v>
      </c>
      <c r="Q24" s="8" t="e">
        <f t="shared" si="26"/>
        <v>#VALUE!</v>
      </c>
      <c r="R24" s="8">
        <f>+'202401anual'!H49</f>
        <v>249152674.26910648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1602266843.2522151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+'202401anual'!H50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+'202401anual'!D51</f>
        <v>0</v>
      </c>
      <c r="G26" s="10">
        <v>0</v>
      </c>
      <c r="H26" s="4">
        <f t="shared" si="28"/>
        <v>0</v>
      </c>
      <c r="I26" s="4">
        <f>+'202401anual'!E51</f>
        <v>0</v>
      </c>
      <c r="J26" s="10">
        <v>0</v>
      </c>
      <c r="K26" s="4">
        <f t="shared" si="29"/>
        <v>0</v>
      </c>
      <c r="L26" s="4">
        <f>+'202401anual'!F51</f>
        <v>0</v>
      </c>
      <c r="M26" s="4" t="e">
        <f>+#REF!</f>
        <v>#REF!</v>
      </c>
      <c r="N26" s="4" t="e">
        <f t="shared" si="30"/>
        <v>#REF!</v>
      </c>
      <c r="O26" s="4">
        <f>+'202401anual'!G51</f>
        <v>0</v>
      </c>
      <c r="P26" s="10">
        <v>0</v>
      </c>
      <c r="Q26" s="4">
        <f t="shared" si="31"/>
        <v>0</v>
      </c>
      <c r="R26" s="4">
        <f>+'202401anual'!H51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+'202401anual'!D52</f>
        <v>0</v>
      </c>
      <c r="G27" s="4">
        <v>31735</v>
      </c>
      <c r="H27" s="4">
        <f t="shared" si="28"/>
        <v>-31735</v>
      </c>
      <c r="I27" s="4">
        <f>+'202401anual'!E52</f>
        <v>0</v>
      </c>
      <c r="J27" s="4" t="e">
        <f>+#REF!</f>
        <v>#REF!</v>
      </c>
      <c r="K27" s="4" t="e">
        <f t="shared" si="29"/>
        <v>#REF!</v>
      </c>
      <c r="L27" s="4">
        <f>+'202401anual'!F52</f>
        <v>0</v>
      </c>
      <c r="M27" s="4" t="e">
        <f>+#REF!</f>
        <v>#REF!</v>
      </c>
      <c r="N27" s="4" t="e">
        <f t="shared" si="30"/>
        <v>#REF!</v>
      </c>
      <c r="O27" s="4">
        <f>+'202401anual'!G52</f>
        <v>0</v>
      </c>
      <c r="P27" s="4" t="e">
        <f>+#REF!</f>
        <v>#REF!</v>
      </c>
      <c r="Q27" s="4" t="e">
        <f t="shared" si="31"/>
        <v>#REF!</v>
      </c>
      <c r="R27" s="4">
        <f>+'202401anual'!H52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28"/>
        <v>37180003</v>
      </c>
      <c r="I28" s="4">
        <f>+'202401anual'!E55</f>
        <v>0</v>
      </c>
      <c r="J28" s="4" t="e">
        <f>+#REF!</f>
        <v>#REF!</v>
      </c>
      <c r="K28" s="4" t="e">
        <f t="shared" si="29"/>
        <v>#REF!</v>
      </c>
      <c r="L28" s="4">
        <f>+'202401anual'!F55</f>
        <v>0</v>
      </c>
      <c r="M28" s="4" t="e">
        <f>+#REF!</f>
        <v>#REF!</v>
      </c>
      <c r="N28" s="4" t="e">
        <f t="shared" si="30"/>
        <v>#REF!</v>
      </c>
      <c r="O28" s="4">
        <f>+'202401anual'!G55</f>
        <v>63900000</v>
      </c>
      <c r="P28" s="4" t="e">
        <f>+#REF!</f>
        <v>#REF!</v>
      </c>
      <c r="Q28" s="4" t="e">
        <f t="shared" si="31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-7676919700.8000002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9"/>
        <v>#REF!</v>
      </c>
      <c r="L29" s="4">
        <f>+'202401anual'!F59</f>
        <v>15156500</v>
      </c>
      <c r="M29" s="4" t="e">
        <f>+#REF!</f>
        <v>#REF!</v>
      </c>
      <c r="N29" s="4" t="e">
        <f t="shared" si="30"/>
        <v>#REF!</v>
      </c>
      <c r="O29" s="4">
        <f>+'202401anual'!G59</f>
        <v>49856500</v>
      </c>
      <c r="P29" s="4" t="e">
        <f>+#REF!</f>
        <v>#REF!</v>
      </c>
      <c r="Q29" s="4" t="e">
        <f t="shared" si="31"/>
        <v>#REF!</v>
      </c>
      <c r="R29" s="4">
        <f>+'202401anual'!H59</f>
        <v>62456500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279112191.48100001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+'202401anual'!D73</f>
        <v>2115000</v>
      </c>
      <c r="G30" s="4">
        <f>3454434+117651+3000000</f>
        <v>6572085</v>
      </c>
      <c r="H30" s="4">
        <f t="shared" si="28"/>
        <v>-4457085</v>
      </c>
      <c r="I30" s="4">
        <f>+'202401anual'!E73</f>
        <v>1755000</v>
      </c>
      <c r="J30" s="4" t="e">
        <f>+#REF!</f>
        <v>#REF!</v>
      </c>
      <c r="K30" s="4" t="e">
        <f t="shared" si="29"/>
        <v>#REF!</v>
      </c>
      <c r="L30" s="4">
        <f>+'202401anual'!F73</f>
        <v>615000</v>
      </c>
      <c r="M30" s="4" t="e">
        <f>+#REF!</f>
        <v>#REF!</v>
      </c>
      <c r="N30" s="4" t="e">
        <f t="shared" si="30"/>
        <v>#REF!</v>
      </c>
      <c r="O30" s="4">
        <f>+'202401anual'!G73</f>
        <v>615000</v>
      </c>
      <c r="P30" s="4" t="e">
        <f>+#REF!</f>
        <v>#REF!</v>
      </c>
      <c r="Q30" s="4" t="e">
        <f t="shared" si="31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120921950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+'202401anual'!D80</f>
        <v>0</v>
      </c>
      <c r="G31" s="4">
        <v>0</v>
      </c>
      <c r="H31" s="4">
        <f t="shared" si="28"/>
        <v>0</v>
      </c>
      <c r="I31" s="4">
        <f>+'202401anual'!E80</f>
        <v>0</v>
      </c>
      <c r="J31" s="4">
        <v>0</v>
      </c>
      <c r="K31" s="4">
        <f t="shared" si="29"/>
        <v>0</v>
      </c>
      <c r="L31" s="4">
        <f>+'202401anual'!F80</f>
        <v>0</v>
      </c>
      <c r="M31" s="4">
        <v>0</v>
      </c>
      <c r="N31" s="4">
        <f t="shared" si="30"/>
        <v>0</v>
      </c>
      <c r="O31" s="4">
        <f>+'202401anual'!G80</f>
        <v>0</v>
      </c>
      <c r="P31" s="4">
        <v>0</v>
      </c>
      <c r="Q31" s="4">
        <f t="shared" si="31"/>
        <v>0</v>
      </c>
      <c r="R31" s="4">
        <f>+'202401anual'!H80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-9349179358.8450031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+'202401anual'!H82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7000000</v>
      </c>
      <c r="AB42" s="4">
        <f t="shared" si="41"/>
        <v>3450000</v>
      </c>
      <c r="AC42" s="4">
        <f t="shared" si="42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5165000</v>
      </c>
      <c r="P43" s="4">
        <v>2813343.24</v>
      </c>
      <c r="Q43" s="4">
        <f t="shared" si="39"/>
        <v>2351656.7599999998</v>
      </c>
      <c r="R43" s="4">
        <f>+'202401anual'!H90</f>
        <v>5165000</v>
      </c>
      <c r="S43" s="4"/>
      <c r="T43" s="4">
        <f t="shared" si="40"/>
        <v>5165000</v>
      </c>
      <c r="U43" s="4"/>
      <c r="V43" s="4"/>
      <c r="W43" s="4"/>
      <c r="X43" s="4"/>
      <c r="Y43" s="4"/>
      <c r="Z43" s="4"/>
      <c r="AA43" s="4">
        <f t="shared" si="41"/>
        <v>28885000</v>
      </c>
      <c r="AB43" s="4">
        <f t="shared" si="41"/>
        <v>12953215.24</v>
      </c>
      <c r="AC43" s="4">
        <f t="shared" si="42"/>
        <v>15931784.76</v>
      </c>
      <c r="AD43" s="43">
        <f t="shared" si="43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9"/>
        <v>-5710741.9700000007</v>
      </c>
      <c r="R47" s="4">
        <f>+'202401anual'!H94</f>
        <v>3428500</v>
      </c>
      <c r="S47" s="4"/>
      <c r="T47" s="4">
        <f t="shared" si="40"/>
        <v>3428500</v>
      </c>
      <c r="U47" s="4"/>
      <c r="V47" s="4"/>
      <c r="W47" s="4"/>
      <c r="X47" s="4"/>
      <c r="Y47" s="4"/>
      <c r="Z47" s="4"/>
      <c r="AA47" s="4">
        <f t="shared" si="41"/>
        <v>20629000</v>
      </c>
      <c r="AB47" s="4">
        <f t="shared" si="41"/>
        <v>9139241.9700000007</v>
      </c>
      <c r="AC47" s="4">
        <f t="shared" si="42"/>
        <v>11489758.029999999</v>
      </c>
      <c r="AD47" s="43">
        <f t="shared" si="43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15930000</v>
      </c>
      <c r="P49" s="4">
        <v>527000</v>
      </c>
      <c r="Q49" s="4">
        <f t="shared" si="39"/>
        <v>15403000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41930000</v>
      </c>
      <c r="AB49" s="4">
        <f t="shared" si="41"/>
        <v>527000</v>
      </c>
      <c r="AC49" s="4">
        <f t="shared" si="42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5867900</v>
      </c>
      <c r="P55" s="4">
        <v>0</v>
      </c>
      <c r="Q55" s="4">
        <f t="shared" si="39"/>
        <v>5867900</v>
      </c>
      <c r="R55" s="4">
        <f>+'202401anual'!H104</f>
        <v>5867900</v>
      </c>
      <c r="S55" s="4"/>
      <c r="T55" s="4">
        <f t="shared" si="40"/>
        <v>5867900</v>
      </c>
      <c r="U55" s="4"/>
      <c r="V55" s="4"/>
      <c r="W55" s="4"/>
      <c r="X55" s="4"/>
      <c r="Y55" s="4"/>
      <c r="Z55" s="4"/>
      <c r="AA55" s="4">
        <f t="shared" si="41"/>
        <v>38060979.5</v>
      </c>
      <c r="AB55" s="4">
        <f t="shared" si="41"/>
        <v>1400000</v>
      </c>
      <c r="AC55" s="4">
        <f t="shared" si="42"/>
        <v>36660979.5</v>
      </c>
      <c r="AD55" s="43">
        <f t="shared" si="43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0</v>
      </c>
      <c r="P56" s="4">
        <v>0</v>
      </c>
      <c r="Q56" s="4">
        <f t="shared" si="39"/>
        <v>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2000000</v>
      </c>
      <c r="AB56" s="4">
        <f t="shared" si="41"/>
        <v>0</v>
      </c>
      <c r="AC56" s="4">
        <f t="shared" si="42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500000</v>
      </c>
      <c r="P57" s="4">
        <v>0</v>
      </c>
      <c r="Q57" s="4">
        <f t="shared" si="39"/>
        <v>500000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1590000</v>
      </c>
      <c r="AB57" s="4">
        <f t="shared" si="41"/>
        <v>1070000</v>
      </c>
      <c r="AC57" s="4">
        <f t="shared" si="42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0</v>
      </c>
      <c r="S58" s="4"/>
      <c r="T58" s="4">
        <f t="shared" si="40"/>
        <v>0</v>
      </c>
      <c r="U58" s="4"/>
      <c r="V58" s="4"/>
      <c r="W58" s="4"/>
      <c r="X58" s="4"/>
      <c r="Y58" s="4"/>
      <c r="Z58" s="4"/>
      <c r="AA58" s="4">
        <f t="shared" si="41"/>
        <v>2000000</v>
      </c>
      <c r="AB58" s="4">
        <f t="shared" si="41"/>
        <v>0</v>
      </c>
      <c r="AC58" s="4">
        <f t="shared" si="42"/>
        <v>2000000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5500000</v>
      </c>
      <c r="P61" s="4">
        <v>5730000</v>
      </c>
      <c r="Q61" s="4">
        <f t="shared" si="39"/>
        <v>-230000</v>
      </c>
      <c r="R61" s="4">
        <f>+'202401anual'!H110</f>
        <v>0</v>
      </c>
      <c r="S61" s="4"/>
      <c r="T61" s="4">
        <f t="shared" si="40"/>
        <v>0</v>
      </c>
      <c r="U61" s="4"/>
      <c r="V61" s="4"/>
      <c r="W61" s="4"/>
      <c r="X61" s="4"/>
      <c r="Y61" s="4"/>
      <c r="Z61" s="4"/>
      <c r="AA61" s="4">
        <f t="shared" si="41"/>
        <v>12600000</v>
      </c>
      <c r="AB61" s="4">
        <f t="shared" si="41"/>
        <v>12102000</v>
      </c>
      <c r="AC61" s="4">
        <f t="shared" si="42"/>
        <v>498000</v>
      </c>
      <c r="AD61" s="43">
        <f t="shared" si="43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1150000</v>
      </c>
      <c r="P64" s="4">
        <v>0</v>
      </c>
      <c r="Q64" s="4">
        <f t="shared" si="39"/>
        <v>1150000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5000000</v>
      </c>
      <c r="AB64" s="4">
        <f t="shared" si="41"/>
        <v>2112800</v>
      </c>
      <c r="AC64" s="4">
        <f t="shared" si="42"/>
        <v>2887200</v>
      </c>
      <c r="AD64" s="43">
        <f t="shared" si="43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2044000</v>
      </c>
      <c r="P65" s="4">
        <v>0</v>
      </c>
      <c r="Q65" s="4">
        <f t="shared" si="39"/>
        <v>2044000</v>
      </c>
      <c r="R65" s="4">
        <f>+'202401anual'!H112</f>
        <v>6000000</v>
      </c>
      <c r="S65" s="4"/>
      <c r="T65" s="4">
        <f t="shared" si="40"/>
        <v>6000000</v>
      </c>
      <c r="U65" s="4"/>
      <c r="V65" s="4"/>
      <c r="W65" s="4"/>
      <c r="X65" s="4"/>
      <c r="Y65" s="4"/>
      <c r="Z65" s="4"/>
      <c r="AA65" s="4">
        <f t="shared" si="41"/>
        <v>17132000</v>
      </c>
      <c r="AB65" s="4">
        <f t="shared" si="41"/>
        <v>4397940.8</v>
      </c>
      <c r="AC65" s="4">
        <f t="shared" si="42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1250000</v>
      </c>
      <c r="P67" s="4">
        <f>102312+708000</f>
        <v>810312</v>
      </c>
      <c r="Q67" s="4">
        <f t="shared" si="39"/>
        <v>439688</v>
      </c>
      <c r="R67" s="4">
        <f>+'202401anual'!H114</f>
        <v>1250000</v>
      </c>
      <c r="S67" s="4"/>
      <c r="T67" s="4">
        <f t="shared" si="40"/>
        <v>1250000</v>
      </c>
      <c r="U67" s="4"/>
      <c r="V67" s="4"/>
      <c r="W67" s="4"/>
      <c r="X67" s="4"/>
      <c r="Y67" s="4"/>
      <c r="Z67" s="4"/>
      <c r="AA67" s="4">
        <f t="shared" si="41"/>
        <v>7900000</v>
      </c>
      <c r="AB67" s="4">
        <f t="shared" si="41"/>
        <v>7406904</v>
      </c>
      <c r="AC67" s="4">
        <f t="shared" si="42"/>
        <v>493096</v>
      </c>
      <c r="AD67" s="43">
        <f t="shared" si="43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6820000</v>
      </c>
      <c r="P72" s="4">
        <v>5451000</v>
      </c>
      <c r="Q72" s="4">
        <f t="shared" si="39"/>
        <v>1369000</v>
      </c>
      <c r="R72" s="4">
        <f>+'202401anual'!H120</f>
        <v>6820000</v>
      </c>
      <c r="S72" s="4"/>
      <c r="T72" s="4">
        <f t="shared" si="40"/>
        <v>6820000</v>
      </c>
      <c r="U72" s="4"/>
      <c r="V72" s="4"/>
      <c r="W72" s="4"/>
      <c r="X72" s="4"/>
      <c r="Y72" s="4"/>
      <c r="Z72" s="4"/>
      <c r="AA72" s="4">
        <f t="shared" si="41"/>
        <v>40544000</v>
      </c>
      <c r="AB72" s="4">
        <f t="shared" si="41"/>
        <v>27073300</v>
      </c>
      <c r="AC72" s="4">
        <f t="shared" si="42"/>
        <v>13470700</v>
      </c>
      <c r="AD72" s="43">
        <f t="shared" si="43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1091500</v>
      </c>
      <c r="P73" s="4">
        <v>0</v>
      </c>
      <c r="Q73" s="4">
        <f t="shared" si="39"/>
        <v>1091500</v>
      </c>
      <c r="R73" s="4">
        <f>+'202401anual'!H131</f>
        <v>1091500</v>
      </c>
      <c r="S73" s="4"/>
      <c r="T73" s="4">
        <f t="shared" si="40"/>
        <v>1091500</v>
      </c>
      <c r="U73" s="4"/>
      <c r="V73" s="4"/>
      <c r="W73" s="4"/>
      <c r="X73" s="4"/>
      <c r="Y73" s="4"/>
      <c r="Z73" s="4"/>
      <c r="AA73" s="4">
        <f t="shared" si="41"/>
        <v>6448000</v>
      </c>
      <c r="AB73" s="4">
        <f t="shared" si="41"/>
        <v>602000</v>
      </c>
      <c r="AC73" s="4">
        <f t="shared" si="42"/>
        <v>5846000</v>
      </c>
      <c r="AD73" s="43">
        <f t="shared" si="43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0</v>
      </c>
      <c r="P74" s="4">
        <v>0</v>
      </c>
      <c r="Q74" s="4">
        <f t="shared" si="39"/>
        <v>0</v>
      </c>
      <c r="R74" s="4">
        <f>+'202401anual'!H132</f>
        <v>0</v>
      </c>
      <c r="S74" s="4"/>
      <c r="T74" s="4">
        <f t="shared" si="40"/>
        <v>0</v>
      </c>
      <c r="U74" s="4"/>
      <c r="V74" s="4"/>
      <c r="W74" s="4"/>
      <c r="X74" s="4"/>
      <c r="Y74" s="4"/>
      <c r="Z74" s="4"/>
      <c r="AA74" s="4">
        <f t="shared" si="41"/>
        <v>3000000</v>
      </c>
      <c r="AB74" s="4">
        <f t="shared" si="41"/>
        <v>0</v>
      </c>
      <c r="AC74" s="4">
        <f t="shared" si="42"/>
        <v>3000000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4000000</v>
      </c>
      <c r="P79" s="4">
        <v>0</v>
      </c>
      <c r="Q79" s="4">
        <f t="shared" si="39"/>
        <v>4000000</v>
      </c>
      <c r="R79" s="4">
        <f>+'202401anual'!H135</f>
        <v>4000000</v>
      </c>
      <c r="S79" s="4"/>
      <c r="T79" s="4">
        <f t="shared" si="40"/>
        <v>4000000</v>
      </c>
      <c r="U79" s="4"/>
      <c r="V79" s="4"/>
      <c r="W79" s="4"/>
      <c r="X79" s="4"/>
      <c r="Y79" s="4"/>
      <c r="Z79" s="4"/>
      <c r="AA79" s="4">
        <f t="shared" si="41"/>
        <v>14500000</v>
      </c>
      <c r="AB79" s="4">
        <f t="shared" si="41"/>
        <v>0</v>
      </c>
      <c r="AC79" s="4">
        <f t="shared" si="42"/>
        <v>14500000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3000000</v>
      </c>
      <c r="S80" s="4"/>
      <c r="T80" s="4">
        <f t="shared" si="40"/>
        <v>3000000</v>
      </c>
      <c r="U80" s="4"/>
      <c r="V80" s="4"/>
      <c r="W80" s="4"/>
      <c r="X80" s="4"/>
      <c r="Y80" s="4"/>
      <c r="Z80" s="4"/>
      <c r="AA80" s="4">
        <f t="shared" si="41"/>
        <v>9000000</v>
      </c>
      <c r="AB80" s="4">
        <f t="shared" si="41"/>
        <v>0</v>
      </c>
      <c r="AC80" s="4">
        <f t="shared" si="42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16000000</v>
      </c>
      <c r="P86" s="4">
        <v>53576000</v>
      </c>
      <c r="Q86" s="4">
        <f t="shared" si="39"/>
        <v>-37576000</v>
      </c>
      <c r="R86" s="4">
        <f>+'202401anual'!H142</f>
        <v>16000000</v>
      </c>
      <c r="S86" s="4"/>
      <c r="T86" s="4">
        <f t="shared" si="40"/>
        <v>16000000</v>
      </c>
      <c r="U86" s="4"/>
      <c r="V86" s="4"/>
      <c r="W86" s="4"/>
      <c r="X86" s="4"/>
      <c r="Y86" s="4"/>
      <c r="Z86" s="4"/>
      <c r="AA86" s="4">
        <f t="shared" si="41"/>
        <v>173731800</v>
      </c>
      <c r="AB86" s="4">
        <f t="shared" si="41"/>
        <v>267880000</v>
      </c>
      <c r="AC86" s="4">
        <f t="shared" si="42"/>
        <v>-94148200</v>
      </c>
      <c r="AD86" s="43">
        <f t="shared" si="43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0"/>
  <sheetViews>
    <sheetView showGridLines="0" zoomScale="86" zoomScaleNormal="86" workbookViewId="0">
      <pane xSplit="2" ySplit="5" topLeftCell="C15" activePane="bottomRight" state="frozen"/>
      <selection activeCell="F87" sqref="F87"/>
      <selection pane="topRight" activeCell="F87" sqref="F87"/>
      <selection pane="bottomLeft" activeCell="F87" sqref="F87"/>
      <selection pane="bottomRight" activeCell="A34" sqref="A34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01" t="s">
        <v>51</v>
      </c>
      <c r="B1" s="101"/>
      <c r="C1" s="101"/>
    </row>
    <row r="2" spans="1:20" x14ac:dyDescent="0.25">
      <c r="A2" s="14"/>
      <c r="B2" s="14"/>
      <c r="C2" s="14"/>
    </row>
    <row r="3" spans="1:20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f>+'[7]Planeación 2024 P&amp;K'!$S6</f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f>+'[7]Planeación 2024 P&amp;K'!$S7</f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f>+'[7]Planeación 2024 P&amp;K'!$S8</f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f>+'[7]Planeación 2024 P&amp;K'!$S9</f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f>+'[7]Planeación 2024 P&amp;K'!$S10</f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f>+'[7]Planeación 2024 P&amp;K'!$S11</f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f>+'[7]Planeación 2024 P&amp;K'!$S12</f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v>7463357206.8025599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0.19744014739990234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9939582392.7943058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5177810348.969799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9939582392.9917469</v>
      </c>
      <c r="P14" s="34">
        <f t="shared" si="1"/>
        <v>0.19744110107421875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4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7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111000000</v>
      </c>
      <c r="H17" s="10">
        <f t="shared" si="6"/>
        <v>64000000</v>
      </c>
      <c r="I17" s="10">
        <f t="shared" si="6"/>
        <v>174000000</v>
      </c>
      <c r="J17" s="10">
        <f t="shared" si="6"/>
        <v>14000000</v>
      </c>
      <c r="K17" s="10">
        <f t="shared" si="6"/>
        <v>18000000</v>
      </c>
      <c r="L17" s="10">
        <f t="shared" si="6"/>
        <v>21000000</v>
      </c>
      <c r="M17" s="10">
        <f t="shared" si="6"/>
        <v>53000000</v>
      </c>
      <c r="N17" s="10">
        <f t="shared" si="6"/>
        <v>18000000</v>
      </c>
      <c r="O17" s="4">
        <f t="shared" si="5"/>
        <v>521000000</v>
      </c>
      <c r="P17" s="34">
        <f t="shared" si="1"/>
        <v>274000000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5000000</v>
      </c>
      <c r="C18" s="4"/>
      <c r="D18" s="4"/>
      <c r="E18" s="4"/>
      <c r="F18" s="4"/>
      <c r="G18" s="4">
        <f>+'[7]Planeación 2024 P&amp;K'!$P$14</f>
        <v>40000000</v>
      </c>
      <c r="H18" s="4">
        <v>40000000</v>
      </c>
      <c r="I18" s="4">
        <f>+'[9]Planeación 2024 P&amp;K'!$R$14</f>
        <v>150000000</v>
      </c>
      <c r="J18" s="4"/>
      <c r="K18" s="4"/>
      <c r="L18" s="4"/>
      <c r="M18" s="4"/>
      <c r="N18" s="4"/>
      <c r="O18" s="4">
        <f t="shared" si="5"/>
        <v>230000000</v>
      </c>
      <c r="P18" s="34">
        <f t="shared" si="1"/>
        <v>225000000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f>+'[7]Planeación 2024 P&amp;K'!$P$15+'[7]Planeación 2024 P&amp;K'!$P$27</f>
        <v>15000000</v>
      </c>
      <c r="H19" s="4"/>
      <c r="I19" s="4">
        <v>0</v>
      </c>
      <c r="J19" s="4">
        <v>2000000</v>
      </c>
      <c r="K19" s="4"/>
      <c r="L19" s="4">
        <v>3000000</v>
      </c>
      <c r="M19" s="4"/>
      <c r="N19" s="4"/>
      <c r="O19" s="4">
        <f t="shared" si="5"/>
        <v>28000000</v>
      </c>
      <c r="P19" s="34">
        <f t="shared" si="1"/>
        <v>20000000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 t="shared" si="5"/>
        <v>30000000</v>
      </c>
      <c r="P20" s="34">
        <f t="shared" si="1"/>
        <v>25000000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4">
        <f t="shared" ref="J23:N23" si="7">+I23</f>
        <v>12000000</v>
      </c>
      <c r="K23" s="4">
        <f t="shared" si="7"/>
        <v>12000000</v>
      </c>
      <c r="L23" s="4">
        <f t="shared" si="7"/>
        <v>12000000</v>
      </c>
      <c r="M23" s="4">
        <f t="shared" si="7"/>
        <v>12000000</v>
      </c>
      <c r="N23" s="4">
        <f t="shared" si="7"/>
        <v>12000000</v>
      </c>
      <c r="O23" s="4">
        <f t="shared" si="5"/>
        <v>132000000</v>
      </c>
      <c r="P23" s="34">
        <f t="shared" si="1"/>
        <v>12000000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 t="shared" si="5"/>
        <v>24000000</v>
      </c>
      <c r="P24" s="34">
        <f t="shared" si="1"/>
        <v>12000000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N25" si="8">+H25</f>
        <v>0</v>
      </c>
      <c r="J25" s="4">
        <f t="shared" si="8"/>
        <v>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40000000</v>
      </c>
      <c r="P25" s="34">
        <f t="shared" si="1"/>
        <v>-20000000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9">SUM(C28:C31)</f>
        <v>4220000</v>
      </c>
      <c r="D27" s="10">
        <f t="shared" si="9"/>
        <v>34220000</v>
      </c>
      <c r="E27" s="10">
        <f t="shared" si="9"/>
        <v>34220000</v>
      </c>
      <c r="F27" s="10">
        <f t="shared" si="9"/>
        <v>30000000</v>
      </c>
      <c r="G27" s="10">
        <f t="shared" si="9"/>
        <v>40000000</v>
      </c>
      <c r="H27" s="10">
        <f t="shared" si="9"/>
        <v>0</v>
      </c>
      <c r="I27" s="10">
        <f>SUM(I28:I31)</f>
        <v>0</v>
      </c>
      <c r="J27" s="10">
        <f t="shared" si="9"/>
        <v>0</v>
      </c>
      <c r="K27" s="10">
        <f t="shared" si="9"/>
        <v>1200000000</v>
      </c>
      <c r="L27" s="10">
        <f t="shared" si="9"/>
        <v>0</v>
      </c>
      <c r="M27" s="10">
        <f t="shared" si="9"/>
        <v>0</v>
      </c>
      <c r="N27" s="10">
        <f t="shared" si="9"/>
        <v>0</v>
      </c>
      <c r="O27" s="4">
        <f t="shared" si="5"/>
        <v>1342660000</v>
      </c>
      <c r="P27" s="34">
        <f t="shared" si="1"/>
        <v>32020000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10">+D28</f>
        <v>2000000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10"/>
        <v>0</v>
      </c>
      <c r="J28" s="4">
        <f t="shared" si="10"/>
        <v>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5"/>
        <v>10000000</v>
      </c>
      <c r="P28" s="34">
        <f t="shared" si="1"/>
        <v>-14000000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1"/>
        <v>0</v>
      </c>
      <c r="J29" s="4">
        <f t="shared" si="11"/>
        <v>0</v>
      </c>
      <c r="K29" s="4">
        <f t="shared" si="11"/>
        <v>0</v>
      </c>
      <c r="L29" s="4">
        <f t="shared" si="11"/>
        <v>0</v>
      </c>
      <c r="M29" s="4">
        <f t="shared" si="11"/>
        <v>0</v>
      </c>
      <c r="N29" s="4">
        <f t="shared" si="11"/>
        <v>0</v>
      </c>
      <c r="O29" s="4">
        <f t="shared" si="5"/>
        <v>42660000</v>
      </c>
      <c r="P29" s="34">
        <f t="shared" si="1"/>
        <v>16020000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 t="shared" si="5"/>
        <v>90000000</v>
      </c>
      <c r="P30" s="34">
        <f t="shared" si="1"/>
        <v>30000000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200</v>
      </c>
      <c r="B33" s="10"/>
      <c r="C33" s="10"/>
      <c r="D33" s="10"/>
      <c r="E33" s="10"/>
      <c r="F33" s="10"/>
      <c r="G33" s="10"/>
      <c r="H33" s="10"/>
      <c r="I33" s="10">
        <f>+I34</f>
        <v>91650000</v>
      </c>
      <c r="J33" s="10"/>
      <c r="K33" s="10"/>
      <c r="L33" s="10"/>
      <c r="M33" s="10"/>
      <c r="N33" s="10"/>
      <c r="O33" s="4">
        <f t="shared" si="5"/>
        <v>91650000</v>
      </c>
      <c r="P33" s="34">
        <f t="shared" si="1"/>
        <v>91650000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+'[7]Planeación 2024 P&amp;K'!$G$189</f>
        <v>141000000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/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8" t="s">
        <v>12</v>
      </c>
      <c r="B37" s="10">
        <f>SUM(B38:B42)</f>
        <v>646180000</v>
      </c>
      <c r="C37" s="10">
        <f>SUM(C38:C42)</f>
        <v>46765000</v>
      </c>
      <c r="D37" s="10">
        <f t="shared" ref="D37:N37" si="12">SUM(D38:D42)</f>
        <v>46765000</v>
      </c>
      <c r="E37" s="10">
        <f t="shared" si="12"/>
        <v>56765000</v>
      </c>
      <c r="F37" s="10">
        <f t="shared" si="12"/>
        <v>28265000</v>
      </c>
      <c r="G37" s="10">
        <f t="shared" si="12"/>
        <v>18015000</v>
      </c>
      <c r="H37" s="10">
        <f t="shared" si="12"/>
        <v>28015000</v>
      </c>
      <c r="I37" s="10">
        <f t="shared" si="12"/>
        <v>79015000</v>
      </c>
      <c r="J37" s="10">
        <f t="shared" si="12"/>
        <v>79015000</v>
      </c>
      <c r="K37" s="10">
        <f t="shared" si="12"/>
        <v>119015000</v>
      </c>
      <c r="L37" s="10">
        <f t="shared" si="12"/>
        <v>104015000</v>
      </c>
      <c r="M37" s="10">
        <f t="shared" si="12"/>
        <v>79015000</v>
      </c>
      <c r="N37" s="10">
        <f t="shared" si="12"/>
        <v>79015000</v>
      </c>
      <c r="O37" s="4">
        <f t="shared" si="5"/>
        <v>763680000</v>
      </c>
      <c r="P37" s="34">
        <f t="shared" si="1"/>
        <v>117500000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4">
        <v>25000000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25000000</v>
      </c>
      <c r="M38" s="4"/>
      <c r="N38" s="4"/>
      <c r="O38" s="4">
        <f t="shared" si="5"/>
        <v>25000000</v>
      </c>
      <c r="P38" s="34">
        <f t="shared" si="1"/>
        <v>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52">
        <f>10000000+30000000</f>
        <v>40000000</v>
      </c>
      <c r="L39" s="4"/>
      <c r="M39" s="4"/>
      <c r="N39" s="4"/>
      <c r="O39" s="4">
        <f t="shared" si="5"/>
        <v>64000000</v>
      </c>
      <c r="P39" s="34">
        <f t="shared" si="1"/>
        <v>10000000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4">
        <f t="shared" ref="J40:N40" si="13">+I40</f>
        <v>61000000</v>
      </c>
      <c r="K40" s="4">
        <f t="shared" si="13"/>
        <v>61000000</v>
      </c>
      <c r="L40" s="4">
        <f t="shared" si="13"/>
        <v>61000000</v>
      </c>
      <c r="M40" s="4">
        <f t="shared" si="13"/>
        <v>61000000</v>
      </c>
      <c r="N40" s="4">
        <f t="shared" si="13"/>
        <v>61000000</v>
      </c>
      <c r="O40" s="4">
        <f t="shared" si="5"/>
        <v>466000000</v>
      </c>
      <c r="P40" s="34">
        <f t="shared" si="1"/>
        <v>100000000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4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4"/>
        <v>3750000</v>
      </c>
      <c r="J41" s="4">
        <f t="shared" si="14"/>
        <v>3750000</v>
      </c>
      <c r="K41" s="4">
        <f t="shared" si="14"/>
        <v>3750000</v>
      </c>
      <c r="L41" s="4">
        <f t="shared" si="14"/>
        <v>3750000</v>
      </c>
      <c r="M41" s="4">
        <f t="shared" si="14"/>
        <v>3750000</v>
      </c>
      <c r="N41" s="4">
        <f t="shared" si="14"/>
        <v>3750000</v>
      </c>
      <c r="O41" s="4">
        <f t="shared" si="5"/>
        <v>37500000</v>
      </c>
      <c r="P41" s="34">
        <f t="shared" si="1"/>
        <v>7500000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5">+D42</f>
        <v>14265000</v>
      </c>
      <c r="F42" s="4">
        <f t="shared" si="15"/>
        <v>14265000</v>
      </c>
      <c r="G42" s="4">
        <f t="shared" si="15"/>
        <v>14265000</v>
      </c>
      <c r="H42" s="4">
        <v>14265000</v>
      </c>
      <c r="I42" s="4">
        <f t="shared" si="15"/>
        <v>14265000</v>
      </c>
      <c r="J42" s="4">
        <f t="shared" si="15"/>
        <v>14265000</v>
      </c>
      <c r="K42" s="4">
        <f t="shared" si="15"/>
        <v>14265000</v>
      </c>
      <c r="L42" s="4">
        <f t="shared" si="15"/>
        <v>14265000</v>
      </c>
      <c r="M42" s="4">
        <f t="shared" si="15"/>
        <v>14265000</v>
      </c>
      <c r="N42" s="4">
        <f t="shared" si="15"/>
        <v>14265000</v>
      </c>
      <c r="O42" s="4">
        <f t="shared" si="5"/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>
        <f>+'[7]Planeación 2024 P&amp;K'!$P$54</f>
        <v>8200000</v>
      </c>
      <c r="H43" s="4"/>
      <c r="I43" s="4"/>
      <c r="J43" s="4"/>
      <c r="K43" s="4"/>
      <c r="L43" s="4"/>
      <c r="M43" s="4"/>
      <c r="N43" s="4"/>
      <c r="O43" s="4">
        <f t="shared" si="5"/>
        <v>8200000</v>
      </c>
      <c r="P43" s="34">
        <f t="shared" si="1"/>
        <v>8200000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3179218331.3454332</v>
      </c>
      <c r="C45" s="8">
        <f t="shared" ref="C45:O45" si="16">+C37+C27+C17+C16+C15</f>
        <v>140268194</v>
      </c>
      <c r="D45" s="8">
        <f t="shared" si="16"/>
        <v>182268194</v>
      </c>
      <c r="E45" s="8">
        <f t="shared" si="16"/>
        <v>184268194</v>
      </c>
      <c r="F45" s="8">
        <f t="shared" si="16"/>
        <v>147548194</v>
      </c>
      <c r="G45" s="8">
        <f t="shared" si="16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6"/>
        <v>174298194</v>
      </c>
      <c r="K45" s="8">
        <f t="shared" si="16"/>
        <v>1418298194</v>
      </c>
      <c r="L45" s="8">
        <f t="shared" si="16"/>
        <v>206298194</v>
      </c>
      <c r="M45" s="8">
        <f t="shared" si="16"/>
        <v>213298194</v>
      </c>
      <c r="N45" s="8">
        <f t="shared" si="16"/>
        <v>178298197.34999999</v>
      </c>
      <c r="O45" s="8">
        <f t="shared" si="16"/>
        <v>3602738331.3499999</v>
      </c>
      <c r="P45" s="34">
        <f t="shared" si="1"/>
        <v>423520000.00456667</v>
      </c>
      <c r="Q45" s="40">
        <f t="shared" si="2"/>
        <v>141000000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7">+D46</f>
        <v>3754480.2691064808</v>
      </c>
      <c r="F46" s="4">
        <f t="shared" si="17"/>
        <v>3754480.2691064808</v>
      </c>
      <c r="G46" s="4">
        <f t="shared" si="17"/>
        <v>3754480.2691064808</v>
      </c>
      <c r="H46" s="4">
        <v>3754480.2691064808</v>
      </c>
      <c r="I46" s="4">
        <f t="shared" si="17"/>
        <v>3754480.2691064808</v>
      </c>
      <c r="J46" s="4">
        <f t="shared" si="17"/>
        <v>3754480.2691064808</v>
      </c>
      <c r="K46" s="4">
        <f t="shared" si="17"/>
        <v>3754480.2691064808</v>
      </c>
      <c r="L46" s="4">
        <f t="shared" si="17"/>
        <v>3754480.2691064808</v>
      </c>
      <c r="M46" s="4">
        <f t="shared" si="17"/>
        <v>3754480.2691064808</v>
      </c>
      <c r="N46" s="4">
        <f t="shared" si="17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 t="shared" si="5"/>
        <v>113000000</v>
      </c>
      <c r="P47" s="34">
        <f t="shared" si="1"/>
        <v>18000000</v>
      </c>
      <c r="Q47" s="40">
        <f t="shared" si="2"/>
        <v>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 t="shared" ref="D48" si="18">SUM(D46:D47)</f>
        <v>53754480.269106477</v>
      </c>
      <c r="E48" s="8">
        <f t="shared" ref="E48:O48" si="19">SUM(E46:E47)</f>
        <v>23754480.269106481</v>
      </c>
      <c r="F48" s="8">
        <f t="shared" si="19"/>
        <v>3754480.2691064808</v>
      </c>
      <c r="G48" s="8">
        <f t="shared" si="19"/>
        <v>21004480.269106481</v>
      </c>
      <c r="H48" s="8">
        <f t="shared" si="19"/>
        <v>26504480.269106481</v>
      </c>
      <c r="I48" s="8">
        <f t="shared" si="19"/>
        <v>6754480.2691064812</v>
      </c>
      <c r="J48" s="8">
        <f t="shared" si="19"/>
        <v>3754480.2691064808</v>
      </c>
      <c r="K48" s="8">
        <f t="shared" si="19"/>
        <v>3754480.2691064808</v>
      </c>
      <c r="L48" s="8">
        <f t="shared" si="19"/>
        <v>3754480.2691064808</v>
      </c>
      <c r="M48" s="8">
        <f t="shared" si="19"/>
        <v>3754480.2691064808</v>
      </c>
      <c r="N48" s="8">
        <f t="shared" si="19"/>
        <v>3754480.2691064808</v>
      </c>
      <c r="O48" s="8">
        <f t="shared" si="19"/>
        <v>158053763.22927776</v>
      </c>
      <c r="P48" s="34">
        <f t="shared" si="1"/>
        <v>18000000</v>
      </c>
      <c r="Q48" s="40">
        <f t="shared" si="2"/>
        <v>0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3319272094.5747108</v>
      </c>
      <c r="C49" s="8">
        <f>+C48+C45</f>
        <v>144022674.26910648</v>
      </c>
      <c r="D49" s="8">
        <f t="shared" ref="D49" si="20">+D48+D45</f>
        <v>236022674.26910648</v>
      </c>
      <c r="E49" s="8">
        <f t="shared" ref="E49:O49" si="21">+E48+E45</f>
        <v>208022674.26910648</v>
      </c>
      <c r="F49" s="8">
        <f t="shared" si="21"/>
        <v>151302674.26910648</v>
      </c>
      <c r="G49" s="8">
        <f t="shared" si="21"/>
        <v>271302674.26910651</v>
      </c>
      <c r="H49" s="8">
        <f t="shared" si="21"/>
        <v>249152674.26910648</v>
      </c>
      <c r="I49" s="8">
        <f t="shared" si="21"/>
        <v>432702674.26910651</v>
      </c>
      <c r="J49" s="8">
        <f t="shared" si="21"/>
        <v>178052674.26910648</v>
      </c>
      <c r="K49" s="8">
        <f t="shared" si="21"/>
        <v>1422052674.2691064</v>
      </c>
      <c r="L49" s="8">
        <f t="shared" si="21"/>
        <v>210052674.26910648</v>
      </c>
      <c r="M49" s="8">
        <f t="shared" si="21"/>
        <v>217052674.26910648</v>
      </c>
      <c r="N49" s="8">
        <f t="shared" si="21"/>
        <v>182052677.61910647</v>
      </c>
      <c r="O49" s="8">
        <f t="shared" si="21"/>
        <v>3760792094.5792775</v>
      </c>
      <c r="P49" s="34">
        <f t="shared" si="1"/>
        <v>441520000.00456667</v>
      </c>
      <c r="Q49" s="40">
        <f t="shared" si="2"/>
        <v>140999999.99999952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22">+D50</f>
        <v>112349141.15499662</v>
      </c>
      <c r="F50" s="4">
        <f t="shared" si="22"/>
        <v>112349141.15499662</v>
      </c>
      <c r="G50" s="4">
        <v>112349141.15499662</v>
      </c>
      <c r="H50" s="4">
        <f t="shared" si="22"/>
        <v>112349141.15499662</v>
      </c>
      <c r="I50" s="4">
        <f t="shared" si="22"/>
        <v>112349141.15499662</v>
      </c>
      <c r="J50" s="4">
        <f t="shared" si="22"/>
        <v>112349141.15499662</v>
      </c>
      <c r="K50" s="4">
        <f t="shared" si="22"/>
        <v>112349141.15499662</v>
      </c>
      <c r="L50" s="4">
        <f t="shared" si="22"/>
        <v>112349141.15499662</v>
      </c>
      <c r="M50" s="4">
        <f t="shared" si="22"/>
        <v>112349141.15499662</v>
      </c>
      <c r="N50" s="4">
        <f t="shared" si="22"/>
        <v>112349141.15499662</v>
      </c>
      <c r="O50" s="4">
        <f t="shared" ref="O50:O141" si="23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23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8" t="s">
        <v>16</v>
      </c>
      <c r="B52" s="10">
        <f>+B53</f>
        <v>23027616</v>
      </c>
      <c r="C52" s="10">
        <f t="shared" ref="C52:O52" si="24">+C53</f>
        <v>26027616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-3000000</v>
      </c>
      <c r="O52" s="10">
        <f t="shared" si="24"/>
        <v>23027616</v>
      </c>
      <c r="P52" s="34">
        <f t="shared" si="1"/>
        <v>0</v>
      </c>
      <c r="Q52" s="40">
        <f t="shared" si="2"/>
        <v>0</v>
      </c>
      <c r="R52" s="38"/>
      <c r="S52" s="2"/>
      <c r="T52" s="2"/>
    </row>
    <row r="53" spans="1:24" ht="90" x14ac:dyDescent="0.25">
      <c r="A53" s="21" t="s">
        <v>159</v>
      </c>
      <c r="B53" s="4">
        <f>26027616-3000000</f>
        <v>23027616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2">
        <v>-3000000</v>
      </c>
      <c r="O53" s="4">
        <f>SUM(C53:N53)</f>
        <v>23027616</v>
      </c>
      <c r="P53" s="34">
        <f t="shared" si="1"/>
        <v>0</v>
      </c>
      <c r="Q53" s="40">
        <f t="shared" si="2"/>
        <v>0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8" t="s">
        <v>17</v>
      </c>
      <c r="B55" s="10">
        <f>SUM(B56:B57)</f>
        <v>576470000</v>
      </c>
      <c r="C55" s="10">
        <f t="shared" ref="C55:O55" si="25">SUM(C56:C57)</f>
        <v>61474815</v>
      </c>
      <c r="D55" s="10">
        <f t="shared" si="25"/>
        <v>59412573</v>
      </c>
      <c r="E55" s="10">
        <f t="shared" si="25"/>
        <v>0</v>
      </c>
      <c r="F55" s="10">
        <f t="shared" si="25"/>
        <v>0</v>
      </c>
      <c r="G55" s="10">
        <f t="shared" si="25"/>
        <v>63900000</v>
      </c>
      <c r="H55" s="10">
        <f t="shared" si="25"/>
        <v>63900000</v>
      </c>
      <c r="I55" s="10">
        <f t="shared" si="25"/>
        <v>63900000</v>
      </c>
      <c r="J55" s="10">
        <f t="shared" si="25"/>
        <v>59443694</v>
      </c>
      <c r="K55" s="10">
        <f t="shared" si="25"/>
        <v>59443694</v>
      </c>
      <c r="L55" s="10">
        <f t="shared" si="25"/>
        <v>59622448</v>
      </c>
      <c r="M55" s="10">
        <f t="shared" si="25"/>
        <v>60443694</v>
      </c>
      <c r="N55" s="10">
        <f t="shared" si="25"/>
        <v>60443694</v>
      </c>
      <c r="O55" s="10">
        <f t="shared" si="25"/>
        <v>611984612</v>
      </c>
      <c r="P55" s="34">
        <f t="shared" si="1"/>
        <v>35514612</v>
      </c>
      <c r="Q55" s="40">
        <f t="shared" si="2"/>
        <v>0</v>
      </c>
      <c r="R55" s="38"/>
      <c r="S55" s="2"/>
      <c r="T55" s="2"/>
    </row>
    <row r="56" spans="1:24" ht="60" x14ac:dyDescent="0.25">
      <c r="A56" s="57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4">
        <v>46008000</v>
      </c>
      <c r="K56" s="4">
        <v>46008000</v>
      </c>
      <c r="L56" s="4">
        <v>46008000</v>
      </c>
      <c r="M56" s="4">
        <v>46008000</v>
      </c>
      <c r="N56" s="4">
        <v>46008000</v>
      </c>
      <c r="O56" s="4">
        <f t="shared" si="23"/>
        <v>472056000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7" t="s">
        <v>155</v>
      </c>
      <c r="B57" s="4">
        <f>175290570-50190570</f>
        <v>125100000</v>
      </c>
      <c r="C57" s="91">
        <v>15466815</v>
      </c>
      <c r="D57" s="91">
        <v>13404573</v>
      </c>
      <c r="E57" s="91">
        <f>14435694-14435694</f>
        <v>0</v>
      </c>
      <c r="F57" s="91">
        <f>14435694-14435694</f>
        <v>0</v>
      </c>
      <c r="G57" s="91">
        <v>13900000</v>
      </c>
      <c r="H57" s="64">
        <f>+'[7]Planeación 2024 P&amp;K'!$Q$122</f>
        <v>13900000</v>
      </c>
      <c r="I57" s="64">
        <f>+'[9]Planeación 2024 P&amp;K'!$R$122</f>
        <v>13900000</v>
      </c>
      <c r="J57" s="64">
        <f t="shared" ref="J57:K57" si="26">14435694-1000000</f>
        <v>13435694</v>
      </c>
      <c r="K57" s="64">
        <f t="shared" si="26"/>
        <v>13435694</v>
      </c>
      <c r="L57" s="64">
        <f>14435694-821246</f>
        <v>13614448</v>
      </c>
      <c r="M57" s="64">
        <v>14435694</v>
      </c>
      <c r="N57" s="64">
        <v>14435694</v>
      </c>
      <c r="O57" s="4">
        <f t="shared" si="23"/>
        <v>139928612</v>
      </c>
      <c r="P57" s="34">
        <f t="shared" si="1"/>
        <v>14828612</v>
      </c>
      <c r="Q57" s="40">
        <f t="shared" si="2"/>
        <v>0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8" t="s">
        <v>7</v>
      </c>
      <c r="B59" s="10">
        <f>SUM(B60:B72)</f>
        <v>395764999.57200003</v>
      </c>
      <c r="C59" s="10">
        <f t="shared" ref="C59:O59" si="27">SUM(C60:C72)</f>
        <v>39598775.880999997</v>
      </c>
      <c r="D59" s="10">
        <f t="shared" si="27"/>
        <v>50098775.880999997</v>
      </c>
      <c r="E59" s="10">
        <f t="shared" si="27"/>
        <v>6000000</v>
      </c>
      <c r="F59" s="10">
        <f t="shared" si="27"/>
        <v>15156500</v>
      </c>
      <c r="G59" s="10">
        <f t="shared" si="27"/>
        <v>49856500</v>
      </c>
      <c r="H59" s="10">
        <f t="shared" si="27"/>
        <v>62456500</v>
      </c>
      <c r="I59" s="10">
        <f t="shared" si="27"/>
        <v>51156500</v>
      </c>
      <c r="J59" s="10">
        <f t="shared" si="27"/>
        <v>17512292</v>
      </c>
      <c r="K59" s="10">
        <f t="shared" si="27"/>
        <v>52312292</v>
      </c>
      <c r="L59" s="10">
        <f t="shared" si="27"/>
        <v>36812292</v>
      </c>
      <c r="M59" s="10">
        <f t="shared" si="27"/>
        <v>39806920.571000002</v>
      </c>
      <c r="N59" s="10">
        <f t="shared" si="27"/>
        <v>52608402.141000003</v>
      </c>
      <c r="O59" s="10">
        <f t="shared" si="27"/>
        <v>473375750.47399998</v>
      </c>
      <c r="P59" s="34">
        <f t="shared" si="1"/>
        <v>77610750.90199995</v>
      </c>
      <c r="Q59" s="40">
        <f>SUM(C59:N59)-O59</f>
        <v>0</v>
      </c>
      <c r="R59" s="38"/>
      <c r="S59" s="2"/>
      <c r="T59" s="2"/>
    </row>
    <row r="60" spans="1:24" ht="48" x14ac:dyDescent="0.25">
      <c r="A60" s="61" t="s">
        <v>151</v>
      </c>
      <c r="B60" s="4">
        <f>140400000-70200000</f>
        <v>70200000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4">
        <v>0</v>
      </c>
      <c r="K60" s="4">
        <f>+D60</f>
        <v>11700000</v>
      </c>
      <c r="L60" s="4">
        <f t="shared" ref="L60:N60" si="28">+K60</f>
        <v>11700000</v>
      </c>
      <c r="M60" s="4">
        <f t="shared" si="28"/>
        <v>11700000</v>
      </c>
      <c r="N60" s="4">
        <f t="shared" si="28"/>
        <v>11700000</v>
      </c>
      <c r="O60" s="4">
        <f t="shared" si="23"/>
        <v>83200000</v>
      </c>
      <c r="P60" s="34">
        <f t="shared" si="1"/>
        <v>13000000</v>
      </c>
      <c r="Q60" s="40">
        <f t="shared" si="2"/>
        <v>0</v>
      </c>
      <c r="R60" s="38"/>
      <c r="S60" s="2"/>
      <c r="T60" s="2"/>
    </row>
    <row r="61" spans="1:24" ht="60" x14ac:dyDescent="0.25">
      <c r="A61" s="57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4">
        <v>900000</v>
      </c>
      <c r="K61" s="4">
        <f>+D61</f>
        <v>1000000</v>
      </c>
      <c r="L61" s="4">
        <f t="shared" ref="L61:N61" si="29">+K61</f>
        <v>1000000</v>
      </c>
      <c r="M61" s="4">
        <f t="shared" si="29"/>
        <v>1000000</v>
      </c>
      <c r="N61" s="4">
        <f t="shared" si="29"/>
        <v>1000000</v>
      </c>
      <c r="O61" s="4">
        <f t="shared" si="23"/>
        <v>11500000</v>
      </c>
      <c r="P61" s="34">
        <f t="shared" si="1"/>
        <v>2600000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153</v>
      </c>
      <c r="B62" s="4">
        <f>88000000-38000000-4000000</f>
        <v>46000000</v>
      </c>
      <c r="C62" s="91">
        <v>12000000</v>
      </c>
      <c r="D62" s="91">
        <v>8000000</v>
      </c>
      <c r="E62" s="91">
        <f>8000000-8000000</f>
        <v>0</v>
      </c>
      <c r="F62" s="91">
        <f>8000000-8000000</f>
        <v>0</v>
      </c>
      <c r="G62" s="64">
        <v>0</v>
      </c>
      <c r="H62" s="64">
        <f>+'[7]Planeación 2024 P&amp;K'!$Q$120</f>
        <v>30000000</v>
      </c>
      <c r="I62" s="64">
        <v>0</v>
      </c>
      <c r="J62" s="64">
        <v>0</v>
      </c>
      <c r="K62" s="64">
        <v>5000000</v>
      </c>
      <c r="L62" s="64">
        <v>5000000</v>
      </c>
      <c r="M62" s="64">
        <v>5000000</v>
      </c>
      <c r="N62" s="64">
        <v>11000000</v>
      </c>
      <c r="O62" s="4">
        <f t="shared" si="23"/>
        <v>76000000</v>
      </c>
      <c r="P62" s="34">
        <f t="shared" si="1"/>
        <v>30000000</v>
      </c>
      <c r="Q62" s="40">
        <f t="shared" si="2"/>
        <v>0</v>
      </c>
      <c r="R62" s="38"/>
      <c r="S62" s="2"/>
      <c r="T62" s="2"/>
    </row>
    <row r="63" spans="1:24" ht="48" x14ac:dyDescent="0.25">
      <c r="A63" s="61" t="s">
        <v>154</v>
      </c>
      <c r="B63" s="4">
        <v>7000000</v>
      </c>
      <c r="C63" s="64">
        <v>1000000</v>
      </c>
      <c r="D63" s="64">
        <v>0</v>
      </c>
      <c r="E63" s="64">
        <v>0</v>
      </c>
      <c r="F63" s="64"/>
      <c r="G63" s="64">
        <v>0</v>
      </c>
      <c r="H63" s="64">
        <f>+'[7]Planeación 2024 P&amp;K'!$Q$121</f>
        <v>2000000</v>
      </c>
      <c r="I63" s="64">
        <v>0</v>
      </c>
      <c r="J63" s="64">
        <v>2000000</v>
      </c>
      <c r="K63" s="64">
        <v>0</v>
      </c>
      <c r="L63" s="64">
        <v>0</v>
      </c>
      <c r="M63" s="64">
        <v>2000000</v>
      </c>
      <c r="N63" s="64">
        <v>0</v>
      </c>
      <c r="O63" s="4">
        <f t="shared" si="23"/>
        <v>7000000</v>
      </c>
      <c r="P63" s="34">
        <f t="shared" si="1"/>
        <v>0</v>
      </c>
      <c r="Q63" s="40">
        <f t="shared" si="2"/>
        <v>0</v>
      </c>
      <c r="R63" s="38"/>
      <c r="S63" s="2"/>
      <c r="T63" s="2"/>
    </row>
    <row r="64" spans="1:24" ht="36" x14ac:dyDescent="0.25">
      <c r="A64" s="61" t="s">
        <v>156</v>
      </c>
      <c r="B64" s="4">
        <f>52600000-3000000</f>
        <v>49600000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1666667</v>
      </c>
      <c r="K64" s="4">
        <v>1666667</v>
      </c>
      <c r="L64" s="4">
        <v>1666667</v>
      </c>
      <c r="M64" s="4">
        <f>1200000+1666667</f>
        <v>2866667</v>
      </c>
      <c r="N64" s="4">
        <f>15000000+1666663</f>
        <v>16666663</v>
      </c>
      <c r="O64" s="4">
        <f t="shared" si="23"/>
        <v>49266665</v>
      </c>
      <c r="P64" s="34">
        <f t="shared" si="1"/>
        <v>-333335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4">
        <v>0</v>
      </c>
      <c r="K65" s="4">
        <v>0</v>
      </c>
      <c r="L65" s="4">
        <v>0</v>
      </c>
      <c r="M65" s="4">
        <f>+D65+590000</f>
        <v>4294628.5710000005</v>
      </c>
      <c r="N65" s="4">
        <f>+M65+1485.57</f>
        <v>4296114.1410000008</v>
      </c>
      <c r="O65" s="4">
        <f t="shared" si="23"/>
        <v>21999999.854000002</v>
      </c>
      <c r="P65" s="34">
        <f t="shared" si="1"/>
        <v>6000000.0020000041</v>
      </c>
      <c r="Q65" s="40">
        <f t="shared" si="2"/>
        <v>0</v>
      </c>
      <c r="R65" s="38"/>
      <c r="S65" s="2"/>
      <c r="T65" s="2"/>
    </row>
    <row r="66" spans="1:20" ht="60" x14ac:dyDescent="0.25">
      <c r="A66" s="57" t="s">
        <v>158</v>
      </c>
      <c r="B66" s="4">
        <v>60000000</v>
      </c>
      <c r="C66" s="64">
        <v>0</v>
      </c>
      <c r="D66" s="64">
        <v>0</v>
      </c>
      <c r="E66" s="64">
        <v>0</v>
      </c>
      <c r="F66" s="64">
        <v>0</v>
      </c>
      <c r="G66" s="4">
        <v>20000000</v>
      </c>
      <c r="H66" s="64">
        <v>0</v>
      </c>
      <c r="I66" s="4">
        <f>+'[9]Planeación 2024 P&amp;K'!$R$126</f>
        <v>20000000</v>
      </c>
      <c r="J66" s="64">
        <v>0</v>
      </c>
      <c r="K66" s="4">
        <v>20000000</v>
      </c>
      <c r="L66" s="64">
        <v>0</v>
      </c>
      <c r="M66" s="64">
        <v>0</v>
      </c>
      <c r="N66" s="64">
        <v>0</v>
      </c>
      <c r="O66" s="4">
        <f t="shared" si="23"/>
        <v>60000000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24" x14ac:dyDescent="0.25">
      <c r="A67" s="61" t="s">
        <v>160</v>
      </c>
      <c r="B67" s="4">
        <v>6000000</v>
      </c>
      <c r="C67" s="64">
        <v>0</v>
      </c>
      <c r="D67" s="64">
        <v>0</v>
      </c>
      <c r="E67" s="4">
        <v>6000000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4">
        <f t="shared" si="23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7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4">
        <f t="shared" ref="J68:N68" si="30">+I68</f>
        <v>6500000</v>
      </c>
      <c r="K68" s="4">
        <f t="shared" si="30"/>
        <v>6500000</v>
      </c>
      <c r="L68" s="4">
        <f t="shared" si="30"/>
        <v>6500000</v>
      </c>
      <c r="M68" s="4">
        <f t="shared" si="30"/>
        <v>6500000</v>
      </c>
      <c r="N68" s="4">
        <f t="shared" si="30"/>
        <v>6500000</v>
      </c>
      <c r="O68" s="4">
        <f t="shared" si="23"/>
        <v>71554960.620000005</v>
      </c>
      <c r="P68" s="34">
        <f t="shared" si="1"/>
        <v>13054960.900000006</v>
      </c>
      <c r="Q68" s="40">
        <f t="shared" si="2"/>
        <v>0</v>
      </c>
      <c r="R68" s="38"/>
      <c r="S68" s="2"/>
      <c r="T68" s="2"/>
    </row>
    <row r="69" spans="1:20" ht="36" x14ac:dyDescent="0.25">
      <c r="A69" s="57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4">
        <v>2000000</v>
      </c>
      <c r="M69" s="4"/>
      <c r="N69" s="4"/>
      <c r="O69" s="4">
        <f t="shared" si="23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2640000</v>
      </c>
      <c r="Q70" s="40">
        <f t="shared" si="2"/>
        <v>0</v>
      </c>
      <c r="R70" s="38"/>
      <c r="S70" s="2"/>
      <c r="T70" s="2"/>
    </row>
    <row r="71" spans="1:20" ht="60" x14ac:dyDescent="0.25">
      <c r="A71" s="57" t="s">
        <v>164</v>
      </c>
      <c r="B71" s="4">
        <f>5000000+51565000</f>
        <v>56565000</v>
      </c>
      <c r="C71" s="4"/>
      <c r="D71" s="65">
        <v>2500000</v>
      </c>
      <c r="E71" s="65">
        <v>0</v>
      </c>
      <c r="F71" s="65">
        <v>5656500</v>
      </c>
      <c r="G71" s="65">
        <v>5656500</v>
      </c>
      <c r="H71" s="65">
        <f>+'[7]Planeación 2024 P&amp;K'!$Q$133</f>
        <v>5656500</v>
      </c>
      <c r="I71" s="65">
        <f>+'[9]Planeación 2024 P&amp;K'!$S$133</f>
        <v>5656500</v>
      </c>
      <c r="J71" s="65">
        <f t="shared" ref="J71:K71" si="31">51565000/8</f>
        <v>6445625</v>
      </c>
      <c r="K71" s="65">
        <f t="shared" si="31"/>
        <v>6445625</v>
      </c>
      <c r="L71" s="65">
        <f>2500000+6445625</f>
        <v>8945625</v>
      </c>
      <c r="M71" s="4">
        <f>+J71</f>
        <v>6445625</v>
      </c>
      <c r="N71" s="4">
        <f>+K71</f>
        <v>6445625</v>
      </c>
      <c r="O71" s="4">
        <f t="shared" si="23"/>
        <v>59854125</v>
      </c>
      <c r="P71" s="34">
        <f t="shared" si="1"/>
        <v>3289125</v>
      </c>
      <c r="Q71" s="40">
        <f t="shared" si="2"/>
        <v>0</v>
      </c>
      <c r="R71" s="38"/>
      <c r="S71" s="2"/>
      <c r="T71" s="2"/>
    </row>
    <row r="72" spans="1:20" ht="24.75" x14ac:dyDescent="0.25">
      <c r="A72" s="62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</f>
        <v>20000000</v>
      </c>
      <c r="P72" s="34">
        <f t="shared" ref="P72:P133" si="32">+O72-B72</f>
        <v>10000000</v>
      </c>
      <c r="Q72" s="40">
        <f t="shared" ref="Q72:Q134" si="33">SUM(C72:N72)-O72</f>
        <v>0</v>
      </c>
      <c r="R72" s="38"/>
      <c r="S72" s="2"/>
      <c r="T72" s="2"/>
    </row>
    <row r="73" spans="1:20" x14ac:dyDescent="0.25">
      <c r="A73" s="58" t="s">
        <v>57</v>
      </c>
      <c r="B73" s="10">
        <f>SUM(B74:B78)</f>
        <v>100020000</v>
      </c>
      <c r="C73" s="10">
        <f t="shared" ref="C73:O73" si="34">SUM(C74:C78)</f>
        <v>615000</v>
      </c>
      <c r="D73" s="10">
        <f t="shared" si="34"/>
        <v>2115000</v>
      </c>
      <c r="E73" s="10">
        <f t="shared" si="34"/>
        <v>1755000</v>
      </c>
      <c r="F73" s="10">
        <f t="shared" si="34"/>
        <v>615000</v>
      </c>
      <c r="G73" s="10">
        <f t="shared" si="34"/>
        <v>615000</v>
      </c>
      <c r="H73" s="10">
        <f t="shared" si="34"/>
        <v>2115000</v>
      </c>
      <c r="I73" s="10">
        <f t="shared" si="34"/>
        <v>1755000</v>
      </c>
      <c r="J73" s="10">
        <f t="shared" si="34"/>
        <v>615000</v>
      </c>
      <c r="K73" s="10">
        <f t="shared" si="34"/>
        <v>615000</v>
      </c>
      <c r="L73" s="10">
        <f t="shared" si="34"/>
        <v>615000</v>
      </c>
      <c r="M73" s="10">
        <f t="shared" si="34"/>
        <v>615000</v>
      </c>
      <c r="N73" s="10">
        <f t="shared" si="34"/>
        <v>90615000</v>
      </c>
      <c r="O73" s="10">
        <f t="shared" si="34"/>
        <v>102660000</v>
      </c>
      <c r="P73" s="34">
        <f t="shared" si="32"/>
        <v>2640000</v>
      </c>
      <c r="Q73" s="40">
        <f t="shared" si="33"/>
        <v>0</v>
      </c>
      <c r="R73" s="38"/>
      <c r="S73" s="2"/>
      <c r="T73" s="2"/>
    </row>
    <row r="74" spans="1:20" x14ac:dyDescent="0.25">
      <c r="A74" s="63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50000000</v>
      </c>
      <c r="O74" s="4">
        <f t="shared" si="23"/>
        <v>50000000</v>
      </c>
      <c r="P74" s="34">
        <f t="shared" si="32"/>
        <v>0</v>
      </c>
      <c r="Q74" s="40">
        <f t="shared" si="33"/>
        <v>0</v>
      </c>
      <c r="R74" s="38"/>
      <c r="S74" s="2"/>
      <c r="T74" s="2"/>
    </row>
    <row r="75" spans="1:20" x14ac:dyDescent="0.25">
      <c r="A75" s="6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23"/>
        <v>0</v>
      </c>
      <c r="P75" s="34"/>
      <c r="Q75" s="40">
        <f t="shared" si="33"/>
        <v>0</v>
      </c>
      <c r="R75" s="38"/>
      <c r="S75" s="2"/>
      <c r="T75" s="2"/>
    </row>
    <row r="76" spans="1:20" x14ac:dyDescent="0.25">
      <c r="A76" s="62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40000000</v>
      </c>
      <c r="O76" s="4">
        <f t="shared" si="23"/>
        <v>40000000</v>
      </c>
      <c r="P76" s="34"/>
      <c r="Q76" s="40">
        <f t="shared" si="33"/>
        <v>0</v>
      </c>
      <c r="R76" s="38"/>
      <c r="S76" s="2"/>
      <c r="T76" s="2"/>
    </row>
    <row r="77" spans="1:20" ht="60" x14ac:dyDescent="0.25">
      <c r="A77" s="57" t="s">
        <v>163</v>
      </c>
      <c r="B77" s="4">
        <v>2640000</v>
      </c>
      <c r="C77" s="4"/>
      <c r="D77" s="65">
        <v>1500000</v>
      </c>
      <c r="E77" s="65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</f>
        <v>5280000</v>
      </c>
      <c r="P77" s="34"/>
      <c r="Q77" s="40">
        <f t="shared" si="33"/>
        <v>0</v>
      </c>
      <c r="R77" s="38"/>
      <c r="S77" s="2"/>
      <c r="T77" s="2"/>
    </row>
    <row r="78" spans="1:20" x14ac:dyDescent="0.25">
      <c r="A78" s="59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35">+G78</f>
        <v>615000</v>
      </c>
      <c r="I78" s="4">
        <f t="shared" si="35"/>
        <v>615000</v>
      </c>
      <c r="J78" s="4">
        <f t="shared" si="35"/>
        <v>615000</v>
      </c>
      <c r="K78" s="4">
        <f t="shared" si="35"/>
        <v>615000</v>
      </c>
      <c r="L78" s="4">
        <f t="shared" si="35"/>
        <v>615000</v>
      </c>
      <c r="M78" s="4">
        <f t="shared" si="35"/>
        <v>615000</v>
      </c>
      <c r="N78" s="4">
        <f t="shared" si="35"/>
        <v>615000</v>
      </c>
      <c r="O78" s="4">
        <f>SUM(C78:N78)</f>
        <v>7380000</v>
      </c>
      <c r="P78" s="34"/>
      <c r="Q78" s="40">
        <f t="shared" si="33"/>
        <v>0</v>
      </c>
      <c r="R78" s="38"/>
      <c r="S78" s="2"/>
      <c r="T78" s="2"/>
    </row>
    <row r="79" spans="1:20" hidden="1" x14ac:dyDescent="0.25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33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23"/>
        <v>0</v>
      </c>
      <c r="P80" s="34"/>
      <c r="Q80" s="40">
        <f t="shared" si="33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36">+B73+B59+B55+B52+B50</f>
        <v>2443472309.4319592</v>
      </c>
      <c r="C81" s="8">
        <f t="shared" si="36"/>
        <v>240065348.03599662</v>
      </c>
      <c r="D81" s="8">
        <f t="shared" si="36"/>
        <v>223975490.03599662</v>
      </c>
      <c r="E81" s="8">
        <f t="shared" si="36"/>
        <v>120104141.15499662</v>
      </c>
      <c r="F81" s="8">
        <f t="shared" si="36"/>
        <v>128120641.15499662</v>
      </c>
      <c r="G81" s="8">
        <f t="shared" si="36"/>
        <v>226720641.15499663</v>
      </c>
      <c r="H81" s="8">
        <f t="shared" si="36"/>
        <v>240820641.15499663</v>
      </c>
      <c r="I81" s="8">
        <f t="shared" si="36"/>
        <v>229160641.15499663</v>
      </c>
      <c r="J81" s="8">
        <f t="shared" si="36"/>
        <v>189920127.15499663</v>
      </c>
      <c r="K81" s="8">
        <f t="shared" si="36"/>
        <v>224720127.15499663</v>
      </c>
      <c r="L81" s="8">
        <f t="shared" si="36"/>
        <v>209398881.15499663</v>
      </c>
      <c r="M81" s="8">
        <f t="shared" si="36"/>
        <v>213214755.72599661</v>
      </c>
      <c r="N81" s="8">
        <f t="shared" si="36"/>
        <v>313016237.29599661</v>
      </c>
      <c r="O81" s="8">
        <f t="shared" si="36"/>
        <v>2559237672.3339596</v>
      </c>
      <c r="P81" s="34"/>
      <c r="Q81" s="40">
        <f t="shared" si="33"/>
        <v>0</v>
      </c>
      <c r="R81" s="39"/>
      <c r="S81" s="2"/>
    </row>
    <row r="82" spans="1:23" x14ac:dyDescent="0.25">
      <c r="A82" s="5" t="s">
        <v>54</v>
      </c>
      <c r="B82" s="4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96">
        <f t="shared" ref="I82:N82" si="37">+H82</f>
        <v>26796512.592504274</v>
      </c>
      <c r="J82" s="4">
        <f t="shared" si="37"/>
        <v>26796512.592504274</v>
      </c>
      <c r="K82" s="4">
        <f t="shared" si="37"/>
        <v>26796512.592504274</v>
      </c>
      <c r="L82" s="4">
        <f t="shared" si="37"/>
        <v>26796512.592504274</v>
      </c>
      <c r="M82" s="4">
        <f t="shared" si="37"/>
        <v>26796512.592504274</v>
      </c>
      <c r="N82" s="4">
        <f t="shared" si="37"/>
        <v>26796512.592504274</v>
      </c>
      <c r="O82" s="4">
        <f t="shared" si="23"/>
        <v>321558151.11005121</v>
      </c>
      <c r="P82" s="34">
        <f t="shared" si="32"/>
        <v>0</v>
      </c>
      <c r="Q82" s="40">
        <f t="shared" si="33"/>
        <v>0</v>
      </c>
      <c r="R82" s="38"/>
      <c r="S82" s="2"/>
      <c r="T82" s="2"/>
      <c r="W82" s="2"/>
    </row>
    <row r="83" spans="1:23" x14ac:dyDescent="0.25">
      <c r="A83" s="5" t="s">
        <v>55</v>
      </c>
      <c r="B83" s="4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96">
        <f t="shared" ref="I83:N85" si="38">+H83</f>
        <v>21673904.556444976</v>
      </c>
      <c r="J83" s="4">
        <f t="shared" si="38"/>
        <v>21673904.556444976</v>
      </c>
      <c r="K83" s="4">
        <f t="shared" si="38"/>
        <v>21673904.556444976</v>
      </c>
      <c r="L83" s="4">
        <f t="shared" si="38"/>
        <v>21673904.556444976</v>
      </c>
      <c r="M83" s="4">
        <f t="shared" si="38"/>
        <v>21673904.556444976</v>
      </c>
      <c r="N83" s="4">
        <f t="shared" si="38"/>
        <v>21673904.556444976</v>
      </c>
      <c r="O83" s="4">
        <f t="shared" si="23"/>
        <v>260086854.6773397</v>
      </c>
      <c r="P83" s="34">
        <f t="shared" si="32"/>
        <v>0</v>
      </c>
      <c r="Q83" s="40">
        <f t="shared" si="33"/>
        <v>0</v>
      </c>
      <c r="R83" s="38"/>
      <c r="S83" s="2"/>
      <c r="T83" s="2"/>
      <c r="W83" s="2"/>
    </row>
    <row r="84" spans="1:23" x14ac:dyDescent="0.25">
      <c r="A84" s="5" t="s">
        <v>168</v>
      </c>
      <c r="B84" s="4">
        <f>45000000+28400000</f>
        <v>73400000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+[10]Resumennna!U363</f>
        <v>0</v>
      </c>
      <c r="J84" s="4">
        <f>+[10]Resumennna!V363</f>
        <v>0</v>
      </c>
      <c r="K84" s="4">
        <f>+[10]Resumennna!W363</f>
        <v>0</v>
      </c>
      <c r="L84" s="4">
        <f>45000000+28400000</f>
        <v>73400000</v>
      </c>
      <c r="M84" s="4">
        <f>+[10]Resumennna!Y363</f>
        <v>0</v>
      </c>
      <c r="N84" s="4">
        <f>+[10]Resumennna!Z363</f>
        <v>0</v>
      </c>
      <c r="O84" s="4">
        <f t="shared" si="23"/>
        <v>73400000</v>
      </c>
      <c r="P84" s="34">
        <f t="shared" si="32"/>
        <v>0</v>
      </c>
      <c r="Q84" s="40">
        <f t="shared" si="33"/>
        <v>0</v>
      </c>
      <c r="R84" s="38"/>
      <c r="S84" s="2"/>
      <c r="T84" s="2"/>
      <c r="W84" s="2"/>
    </row>
    <row r="85" spans="1:23" x14ac:dyDescent="0.25">
      <c r="A85" s="5" t="s">
        <v>18</v>
      </c>
      <c r="B85" s="4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8"/>
        <v>0</v>
      </c>
      <c r="J85" s="4">
        <f t="shared" si="38"/>
        <v>0</v>
      </c>
      <c r="K85" s="4">
        <v>300000</v>
      </c>
      <c r="L85" s="4">
        <f t="shared" si="38"/>
        <v>300000</v>
      </c>
      <c r="M85" s="4">
        <f t="shared" si="38"/>
        <v>300000</v>
      </c>
      <c r="N85" s="4">
        <f t="shared" si="38"/>
        <v>300000</v>
      </c>
      <c r="O85" s="4">
        <f t="shared" si="23"/>
        <v>3000000</v>
      </c>
      <c r="P85" s="34">
        <f t="shared" si="32"/>
        <v>0</v>
      </c>
      <c r="Q85" s="40">
        <f t="shared" si="33"/>
        <v>0</v>
      </c>
      <c r="R85" s="38"/>
      <c r="S85" s="2"/>
      <c r="T85" s="2"/>
    </row>
    <row r="86" spans="1:23" x14ac:dyDescent="0.25">
      <c r="A86" s="5" t="s">
        <v>71</v>
      </c>
      <c r="B86" s="4">
        <v>12900000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96">
        <f>+'[9]Planeación 2024 P&amp;K'!$R$61</f>
        <v>1075000</v>
      </c>
      <c r="J86" s="4">
        <f t="shared" ref="J86:N86" si="39">+I86</f>
        <v>1075000</v>
      </c>
      <c r="K86" s="4">
        <f t="shared" si="39"/>
        <v>1075000</v>
      </c>
      <c r="L86" s="4">
        <f t="shared" si="39"/>
        <v>1075000</v>
      </c>
      <c r="M86" s="4">
        <f t="shared" si="39"/>
        <v>1075000</v>
      </c>
      <c r="N86" s="4">
        <f t="shared" si="39"/>
        <v>1075000</v>
      </c>
      <c r="O86" s="4">
        <f t="shared" si="23"/>
        <v>12900000</v>
      </c>
      <c r="P86" s="34">
        <f t="shared" si="32"/>
        <v>0</v>
      </c>
      <c r="Q86" s="40">
        <f t="shared" si="33"/>
        <v>0</v>
      </c>
      <c r="R86" s="38"/>
      <c r="S86" s="2"/>
      <c r="T86" s="2"/>
    </row>
    <row r="87" spans="1:23" x14ac:dyDescent="0.25">
      <c r="A87" s="5" t="s">
        <v>84</v>
      </c>
      <c r="B87" s="4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4"/>
      <c r="N87" s="4"/>
      <c r="O87" s="4">
        <f t="shared" si="23"/>
        <v>369000</v>
      </c>
      <c r="P87" s="34">
        <f t="shared" si="32"/>
        <v>0</v>
      </c>
      <c r="Q87" s="40">
        <f t="shared" si="33"/>
        <v>0</v>
      </c>
      <c r="R87" s="38"/>
      <c r="S87" s="2"/>
      <c r="T87" s="2"/>
    </row>
    <row r="88" spans="1:23" x14ac:dyDescent="0.25">
      <c r="A88" s="5" t="s">
        <v>19</v>
      </c>
      <c r="B88" s="4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96">
        <f>+'[9]Planeación 2024 P&amp;K'!$R$63</f>
        <v>11965000</v>
      </c>
      <c r="J88" s="4">
        <f t="shared" ref="J88:N88" si="40">+I88</f>
        <v>11965000</v>
      </c>
      <c r="K88" s="4">
        <f t="shared" si="40"/>
        <v>11965000</v>
      </c>
      <c r="L88" s="4">
        <f t="shared" si="40"/>
        <v>11965000</v>
      </c>
      <c r="M88" s="4">
        <f t="shared" si="40"/>
        <v>11965000</v>
      </c>
      <c r="N88" s="4">
        <f t="shared" si="40"/>
        <v>11965000</v>
      </c>
      <c r="O88" s="4">
        <f t="shared" si="23"/>
        <v>143580000</v>
      </c>
      <c r="P88" s="34">
        <f t="shared" si="32"/>
        <v>0</v>
      </c>
      <c r="Q88" s="40">
        <f t="shared" si="33"/>
        <v>0</v>
      </c>
      <c r="R88" s="38"/>
      <c r="S88" s="2"/>
      <c r="T88" s="2"/>
    </row>
    <row r="89" spans="1:23" ht="30" x14ac:dyDescent="0.25">
      <c r="A89" s="21" t="s">
        <v>89</v>
      </c>
      <c r="B89" s="4">
        <f>55500000-46000000</f>
        <v>9500000</v>
      </c>
      <c r="C89" s="4">
        <v>0</v>
      </c>
      <c r="D89" s="4">
        <v>0</v>
      </c>
      <c r="E89" s="4">
        <v>0</v>
      </c>
      <c r="F89" s="69">
        <v>0</v>
      </c>
      <c r="G89" s="69">
        <v>3500000</v>
      </c>
      <c r="H89" s="69">
        <v>3500000</v>
      </c>
      <c r="I89" s="97">
        <f>+'[9]Planeación 2024 P&amp;K'!$R$65+'[9]Planeación 2024 P&amp;K'!$R$82</f>
        <v>6500000</v>
      </c>
      <c r="J89" s="68">
        <v>0</v>
      </c>
      <c r="K89" s="68">
        <v>0</v>
      </c>
      <c r="L89" s="68">
        <v>0</v>
      </c>
      <c r="M89" s="68">
        <v>6000000</v>
      </c>
      <c r="N89" s="68">
        <v>3500000</v>
      </c>
      <c r="O89" s="4">
        <f>SUM(C89:N89)</f>
        <v>23000000</v>
      </c>
      <c r="P89" s="34">
        <f t="shared" si="32"/>
        <v>13500000</v>
      </c>
      <c r="Q89" s="40">
        <f t="shared" si="33"/>
        <v>0</v>
      </c>
      <c r="R89" s="38"/>
      <c r="S89" s="2"/>
      <c r="T89" s="2"/>
    </row>
    <row r="90" spans="1:23" x14ac:dyDescent="0.25">
      <c r="A90" s="5" t="s">
        <v>72</v>
      </c>
      <c r="B90" s="4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96">
        <f>+'[9]Planeación 2024 P&amp;K'!$R$83+'[9]Planeación 2024 P&amp;K'!$R$84+'[9]Planeación 2024 P&amp;K'!$R$85+'[9]Planeación 2024 P&amp;K'!$R$86+'[9]Planeación 2024 P&amp;K'!$R$87</f>
        <v>5165000</v>
      </c>
      <c r="J90" s="4">
        <f t="shared" ref="J90:N90" si="41">+I90</f>
        <v>5165000</v>
      </c>
      <c r="K90" s="4">
        <f t="shared" si="41"/>
        <v>5165000</v>
      </c>
      <c r="L90" s="4">
        <f t="shared" si="41"/>
        <v>5165000</v>
      </c>
      <c r="M90" s="4">
        <f t="shared" si="41"/>
        <v>5165000</v>
      </c>
      <c r="N90" s="4">
        <f t="shared" si="41"/>
        <v>5165000</v>
      </c>
      <c r="O90" s="4">
        <f t="shared" si="23"/>
        <v>59580000</v>
      </c>
      <c r="P90" s="34">
        <f t="shared" si="32"/>
        <v>-2400000</v>
      </c>
      <c r="Q90" s="40">
        <f t="shared" si="33"/>
        <v>0</v>
      </c>
      <c r="R90" s="38"/>
      <c r="S90" s="2"/>
      <c r="T90" s="2"/>
    </row>
    <row r="91" spans="1:23" ht="45" x14ac:dyDescent="0.25">
      <c r="A91" s="21" t="s">
        <v>65</v>
      </c>
      <c r="B91" s="4">
        <v>121000000</v>
      </c>
      <c r="C91" s="4">
        <v>0</v>
      </c>
      <c r="D91" s="4">
        <v>0</v>
      </c>
      <c r="E91" s="84">
        <v>44250000</v>
      </c>
      <c r="F91" s="84">
        <v>0</v>
      </c>
      <c r="G91" s="84">
        <v>0</v>
      </c>
      <c r="H91" s="84">
        <v>16250000</v>
      </c>
      <c r="I91" s="71">
        <v>0</v>
      </c>
      <c r="J91" s="71">
        <v>0</v>
      </c>
      <c r="K91" s="71">
        <f>28000000+16250000</f>
        <v>44250000</v>
      </c>
      <c r="L91" s="4">
        <f>+[10]Resumennna!X317</f>
        <v>0</v>
      </c>
      <c r="M91" s="4">
        <f>+[10]Resumennna!Y317</f>
        <v>0</v>
      </c>
      <c r="N91" s="4">
        <v>16250000</v>
      </c>
      <c r="O91" s="4">
        <f t="shared" si="23"/>
        <v>121000000</v>
      </c>
      <c r="P91" s="34">
        <f t="shared" si="32"/>
        <v>0</v>
      </c>
      <c r="Q91" s="40">
        <f t="shared" si="33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+[10]Resumennna!U348</f>
        <v>0</v>
      </c>
      <c r="J92" s="4">
        <f>+[10]Resumennna!V348</f>
        <v>0</v>
      </c>
      <c r="K92" s="4">
        <v>0</v>
      </c>
      <c r="L92" s="4">
        <f>+[10]Resumennna!X348</f>
        <v>0</v>
      </c>
      <c r="M92" s="4">
        <f>+[10]Resumennna!Y348</f>
        <v>0</v>
      </c>
      <c r="N92" s="4">
        <f>+[10]Resumennna!Z348</f>
        <v>0</v>
      </c>
      <c r="O92" s="4">
        <f t="shared" si="23"/>
        <v>0</v>
      </c>
      <c r="P92" s="34">
        <f t="shared" si="32"/>
        <v>0</v>
      </c>
      <c r="Q92" s="40">
        <f t="shared" si="33"/>
        <v>0</v>
      </c>
      <c r="R92" s="38"/>
      <c r="S92" s="2"/>
      <c r="T92" s="2"/>
    </row>
    <row r="93" spans="1:23" x14ac:dyDescent="0.25">
      <c r="A93" s="5" t="s">
        <v>21</v>
      </c>
      <c r="B93" s="4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97">
        <f>+'[9]Planeación 2024 P&amp;K'!$R$160</f>
        <v>3500000</v>
      </c>
      <c r="J93" s="68">
        <v>3500000</v>
      </c>
      <c r="K93" s="68">
        <v>3500000</v>
      </c>
      <c r="L93" s="68">
        <v>3500000</v>
      </c>
      <c r="M93" s="68">
        <v>3500000</v>
      </c>
      <c r="N93" s="68">
        <v>3500000</v>
      </c>
      <c r="O93" s="4">
        <f t="shared" si="23"/>
        <v>31500000</v>
      </c>
      <c r="P93" s="34">
        <f t="shared" si="32"/>
        <v>0</v>
      </c>
      <c r="Q93" s="40">
        <f t="shared" si="33"/>
        <v>0</v>
      </c>
      <c r="R93" s="38"/>
      <c r="S93" s="2"/>
      <c r="T93" s="2"/>
    </row>
    <row r="94" spans="1:23" x14ac:dyDescent="0.25">
      <c r="A94" s="5" t="s">
        <v>181</v>
      </c>
      <c r="B94" s="4">
        <f>35155000-3870000</f>
        <v>31285000</v>
      </c>
      <c r="C94" s="4"/>
      <c r="D94" s="4"/>
      <c r="E94" s="4">
        <v>11993500</v>
      </c>
      <c r="F94" s="84">
        <v>428500</v>
      </c>
      <c r="G94" s="84">
        <v>3428500</v>
      </c>
      <c r="H94" s="69">
        <v>3428500</v>
      </c>
      <c r="I94" s="98">
        <f>+'[9]Planeación 2024 P&amp;K'!$R$67+'[9]Planeación 2024 P&amp;K'!$R$77</f>
        <v>3428500</v>
      </c>
      <c r="J94" s="71">
        <f>15435000+428500</f>
        <v>15863500</v>
      </c>
      <c r="K94" s="71">
        <v>428500</v>
      </c>
      <c r="L94" s="71">
        <v>428500</v>
      </c>
      <c r="M94" s="71">
        <v>428500</v>
      </c>
      <c r="N94" s="71">
        <v>428500</v>
      </c>
      <c r="O94" s="4">
        <f t="shared" si="23"/>
        <v>40285000</v>
      </c>
      <c r="P94" s="34">
        <f t="shared" si="32"/>
        <v>9000000</v>
      </c>
      <c r="Q94" s="40">
        <f t="shared" si="33"/>
        <v>0</v>
      </c>
      <c r="R94" s="38"/>
      <c r="S94" s="2"/>
      <c r="T94" s="2"/>
    </row>
    <row r="95" spans="1:23" x14ac:dyDescent="0.25">
      <c r="A95" s="21" t="s">
        <v>85</v>
      </c>
      <c r="B95" s="4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6">
        <f>+'[9]Planeación 2024 P&amp;K'!$R$179</f>
        <v>666666.66666666663</v>
      </c>
      <c r="J95" s="4">
        <f t="shared" ref="J95:N95" si="42">+I95</f>
        <v>666666.66666666663</v>
      </c>
      <c r="K95" s="4">
        <f t="shared" si="42"/>
        <v>666666.66666666663</v>
      </c>
      <c r="L95" s="4">
        <f t="shared" si="42"/>
        <v>666666.66666666663</v>
      </c>
      <c r="M95" s="4">
        <f t="shared" si="42"/>
        <v>666666.66666666663</v>
      </c>
      <c r="N95" s="4">
        <f t="shared" si="42"/>
        <v>666666.66666666663</v>
      </c>
      <c r="O95" s="4">
        <f t="shared" si="23"/>
        <v>8000000.0000000009</v>
      </c>
      <c r="P95" s="34">
        <f t="shared" si="32"/>
        <v>0</v>
      </c>
      <c r="Q95" s="40">
        <f t="shared" si="33"/>
        <v>0</v>
      </c>
      <c r="R95" s="38"/>
      <c r="S95" s="2"/>
      <c r="T95" s="2"/>
    </row>
    <row r="96" spans="1:23" x14ac:dyDescent="0.25">
      <c r="A96" s="5" t="s">
        <v>23</v>
      </c>
      <c r="B96" s="4">
        <v>117000000</v>
      </c>
      <c r="C96" s="4">
        <v>0</v>
      </c>
      <c r="D96" s="84">
        <v>13000000</v>
      </c>
      <c r="E96" s="84">
        <v>0</v>
      </c>
      <c r="F96" s="84">
        <v>0</v>
      </c>
      <c r="G96" s="84">
        <v>15930000</v>
      </c>
      <c r="H96" s="84">
        <v>13000000</v>
      </c>
      <c r="I96" s="98">
        <f>+'[9]Planeación 2024 P&amp;K'!$R$68</f>
        <v>13000000</v>
      </c>
      <c r="J96" s="71">
        <v>13000000</v>
      </c>
      <c r="K96" s="71">
        <v>13000000</v>
      </c>
      <c r="L96" s="71">
        <v>13000000</v>
      </c>
      <c r="M96" s="71">
        <v>13000000</v>
      </c>
      <c r="N96" s="71">
        <v>13000000</v>
      </c>
      <c r="O96" s="4">
        <f t="shared" si="23"/>
        <v>119930000</v>
      </c>
      <c r="P96" s="34">
        <f t="shared" si="32"/>
        <v>2930000</v>
      </c>
      <c r="Q96" s="40">
        <f t="shared" si="33"/>
        <v>0</v>
      </c>
      <c r="R96" s="38"/>
      <c r="S96" s="2"/>
      <c r="T96" s="2"/>
    </row>
    <row r="97" spans="1:20" x14ac:dyDescent="0.25">
      <c r="A97" s="5" t="s">
        <v>180</v>
      </c>
      <c r="B97" s="4">
        <v>12000000</v>
      </c>
      <c r="C97" s="92">
        <v>0</v>
      </c>
      <c r="D97" s="92">
        <v>0</v>
      </c>
      <c r="E97" s="92">
        <v>0</v>
      </c>
      <c r="F97" s="92">
        <v>0</v>
      </c>
      <c r="G97" s="92">
        <v>6000000</v>
      </c>
      <c r="H97" s="92">
        <v>0</v>
      </c>
      <c r="I97" s="99">
        <f>+'[9]Planeación 2024 P&amp;K'!$R$76</f>
        <v>6000000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4">
        <f t="shared" si="23"/>
        <v>12000000</v>
      </c>
      <c r="P97" s="34"/>
      <c r="Q97" s="40">
        <f t="shared" si="33"/>
        <v>0</v>
      </c>
      <c r="R97" s="38"/>
      <c r="S97" s="2"/>
      <c r="T97" s="2"/>
    </row>
    <row r="98" spans="1:20" ht="30" x14ac:dyDescent="0.25">
      <c r="A98" s="21" t="s">
        <v>37</v>
      </c>
      <c r="B98" s="4">
        <v>82018600</v>
      </c>
      <c r="C98" s="84">
        <v>6463000</v>
      </c>
      <c r="D98" s="84">
        <v>6463000</v>
      </c>
      <c r="E98" s="84">
        <v>6463000</v>
      </c>
      <c r="F98" s="84">
        <v>6463000</v>
      </c>
      <c r="G98" s="84">
        <v>10925600</v>
      </c>
      <c r="H98" s="84">
        <v>6463000</v>
      </c>
      <c r="I98" s="98">
        <f>+'[9]Planeación 2024 P&amp;K'!$R$69</f>
        <v>6463000</v>
      </c>
      <c r="J98" s="71">
        <v>6463000</v>
      </c>
      <c r="K98" s="71">
        <v>6463000</v>
      </c>
      <c r="L98" s="71">
        <v>6463000</v>
      </c>
      <c r="M98" s="71">
        <v>6463000</v>
      </c>
      <c r="N98" s="71">
        <v>6463000</v>
      </c>
      <c r="O98" s="4">
        <f t="shared" si="23"/>
        <v>82018600</v>
      </c>
      <c r="P98" s="34">
        <f t="shared" si="32"/>
        <v>0</v>
      </c>
      <c r="Q98" s="40">
        <f t="shared" si="33"/>
        <v>0</v>
      </c>
      <c r="R98" s="38"/>
      <c r="S98" s="2"/>
      <c r="T98" s="2"/>
    </row>
    <row r="99" spans="1:20" ht="30" x14ac:dyDescent="0.25">
      <c r="A99" s="21" t="s">
        <v>24</v>
      </c>
      <c r="B99" s="4">
        <f>7000000+1000000</f>
        <v>8000000</v>
      </c>
      <c r="C99" s="4">
        <v>0</v>
      </c>
      <c r="D99" s="4"/>
      <c r="E99" s="4"/>
      <c r="F99" s="4"/>
      <c r="G99" s="4"/>
      <c r="H99" s="4"/>
      <c r="I99" s="94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2"/>
        <v>0</v>
      </c>
      <c r="Q99" s="40">
        <f t="shared" si="33"/>
        <v>0</v>
      </c>
      <c r="R99" s="38"/>
      <c r="S99" s="2"/>
      <c r="T99" s="2"/>
    </row>
    <row r="100" spans="1:20" x14ac:dyDescent="0.25">
      <c r="A100" s="21" t="s">
        <v>25</v>
      </c>
      <c r="B100" s="4">
        <v>52971800</v>
      </c>
      <c r="C100" s="84">
        <v>3789200</v>
      </c>
      <c r="D100" s="84">
        <v>3789200</v>
      </c>
      <c r="E100" s="84">
        <v>3789200</v>
      </c>
      <c r="F100" s="84">
        <v>4623000</v>
      </c>
      <c r="G100" s="84">
        <v>8789200</v>
      </c>
      <c r="H100" s="84">
        <v>3789200</v>
      </c>
      <c r="I100" s="98">
        <f>+'[9]Planeación 2024 P&amp;K'!$R$71</f>
        <v>4623000</v>
      </c>
      <c r="J100" s="71">
        <v>3789200</v>
      </c>
      <c r="K100" s="71">
        <v>4623000</v>
      </c>
      <c r="L100" s="71">
        <v>3789200</v>
      </c>
      <c r="M100" s="71">
        <v>3789200</v>
      </c>
      <c r="N100" s="71">
        <v>3789200</v>
      </c>
      <c r="O100" s="4">
        <f t="shared" si="23"/>
        <v>52971800</v>
      </c>
      <c r="P100" s="34">
        <f t="shared" si="32"/>
        <v>0</v>
      </c>
      <c r="Q100" s="40">
        <f t="shared" si="33"/>
        <v>0</v>
      </c>
      <c r="R100" s="38"/>
      <c r="S100" s="2"/>
      <c r="T100" s="2"/>
    </row>
    <row r="101" spans="1:20" x14ac:dyDescent="0.25">
      <c r="A101" s="21" t="s">
        <v>179</v>
      </c>
      <c r="B101" s="4"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3"/>
        <v>30000000</v>
      </c>
      <c r="P101" s="34"/>
      <c r="Q101" s="40">
        <f t="shared" si="33"/>
        <v>0</v>
      </c>
      <c r="R101" s="38"/>
      <c r="S101" s="2"/>
      <c r="T101" s="2"/>
    </row>
    <row r="102" spans="1:20" x14ac:dyDescent="0.25">
      <c r="A102" s="5" t="s">
        <v>60</v>
      </c>
      <c r="B102" s="4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6">
        <f>+'[9]Planeación 2024 P&amp;K'!$R$73</f>
        <v>3789200</v>
      </c>
      <c r="J102" s="4">
        <f t="shared" ref="J102" si="43">+I102</f>
        <v>3789200</v>
      </c>
      <c r="K102" s="4">
        <f t="shared" ref="K102" si="44">+J102</f>
        <v>3789200</v>
      </c>
      <c r="L102" s="4">
        <f t="shared" ref="L102" si="45">+K102</f>
        <v>3789200</v>
      </c>
      <c r="M102" s="4">
        <f t="shared" ref="M102" si="46">+L102</f>
        <v>3789200</v>
      </c>
      <c r="N102" s="4">
        <f t="shared" ref="N102" si="47">+M102</f>
        <v>3789200</v>
      </c>
      <c r="O102" s="4">
        <f t="shared" si="23"/>
        <v>45470400</v>
      </c>
      <c r="P102" s="34">
        <f t="shared" si="32"/>
        <v>0</v>
      </c>
      <c r="Q102" s="40">
        <f t="shared" si="33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2"/>
        <v>0</v>
      </c>
      <c r="Q103" s="40">
        <f t="shared" si="33"/>
        <v>0</v>
      </c>
      <c r="R103" s="38"/>
      <c r="S103" s="2"/>
      <c r="T103" s="2"/>
    </row>
    <row r="104" spans="1:20" x14ac:dyDescent="0.25">
      <c r="A104" s="5" t="s">
        <v>92</v>
      </c>
      <c r="B104" s="4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6">
        <f>+'[9]Planeación 2024 P&amp;K'!$R$158-7000000</f>
        <v>22599618</v>
      </c>
      <c r="J104" s="4">
        <f t="shared" ref="J104:N105" si="48">+I104</f>
        <v>22599618</v>
      </c>
      <c r="K104" s="4">
        <f t="shared" si="48"/>
        <v>22599618</v>
      </c>
      <c r="L104" s="4">
        <f t="shared" si="48"/>
        <v>22599618</v>
      </c>
      <c r="M104" s="4">
        <f t="shared" si="48"/>
        <v>22599618</v>
      </c>
      <c r="N104" s="4">
        <f t="shared" si="48"/>
        <v>22599618</v>
      </c>
      <c r="O104" s="4">
        <f t="shared" si="23"/>
        <v>180167080.66666669</v>
      </c>
      <c r="P104" s="34">
        <f t="shared" si="32"/>
        <v>81666362.666666687</v>
      </c>
      <c r="Q104" s="40">
        <f t="shared" si="33"/>
        <v>0</v>
      </c>
      <c r="R104" s="38"/>
      <c r="S104" s="2"/>
      <c r="T104" s="2"/>
    </row>
    <row r="105" spans="1:20" x14ac:dyDescent="0.25">
      <c r="A105" s="5" t="s">
        <v>73</v>
      </c>
      <c r="B105" s="4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6">
        <f>+'[9]Planeación 2024 P&amp;K'!$R$74</f>
        <v>500000</v>
      </c>
      <c r="J105" s="4">
        <f t="shared" si="48"/>
        <v>500000</v>
      </c>
      <c r="K105" s="4">
        <f t="shared" si="48"/>
        <v>500000</v>
      </c>
      <c r="L105" s="4">
        <f t="shared" si="48"/>
        <v>500000</v>
      </c>
      <c r="M105" s="4">
        <f t="shared" si="48"/>
        <v>500000</v>
      </c>
      <c r="N105" s="4">
        <f t="shared" si="48"/>
        <v>500000</v>
      </c>
      <c r="O105" s="4">
        <f t="shared" si="23"/>
        <v>5500000</v>
      </c>
      <c r="P105" s="34">
        <f t="shared" si="32"/>
        <v>-500000</v>
      </c>
      <c r="Q105" s="40">
        <f t="shared" si="33"/>
        <v>0</v>
      </c>
      <c r="R105" s="38"/>
      <c r="S105" s="2"/>
      <c r="T105" s="2"/>
    </row>
    <row r="106" spans="1:20" x14ac:dyDescent="0.25">
      <c r="A106" s="5" t="s">
        <v>27</v>
      </c>
      <c r="B106" s="4">
        <v>3270000</v>
      </c>
      <c r="C106" s="84">
        <v>1090000</v>
      </c>
      <c r="D106" s="84">
        <v>0</v>
      </c>
      <c r="E106" s="84">
        <v>0</v>
      </c>
      <c r="F106" s="84">
        <v>0</v>
      </c>
      <c r="G106" s="84">
        <v>500000</v>
      </c>
      <c r="H106" s="84">
        <v>1090000</v>
      </c>
      <c r="I106" s="71">
        <v>0</v>
      </c>
      <c r="J106" s="71">
        <v>0</v>
      </c>
      <c r="K106" s="71">
        <v>0</v>
      </c>
      <c r="L106" s="71">
        <v>1090000</v>
      </c>
      <c r="M106" s="71">
        <v>0</v>
      </c>
      <c r="N106" s="71">
        <v>0</v>
      </c>
      <c r="O106" s="4">
        <f t="shared" si="23"/>
        <v>3770000</v>
      </c>
      <c r="P106" s="34">
        <f t="shared" si="32"/>
        <v>500000</v>
      </c>
      <c r="Q106" s="40">
        <f t="shared" si="33"/>
        <v>0</v>
      </c>
      <c r="R106" s="38"/>
      <c r="S106" s="2"/>
      <c r="T106" s="2"/>
    </row>
    <row r="107" spans="1:20" x14ac:dyDescent="0.25">
      <c r="A107" s="5" t="s">
        <v>74</v>
      </c>
      <c r="B107" s="4">
        <f>27000000-6000000</f>
        <v>21000000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98">
        <f>+'[9]Planeación 2024 P&amp;K'!$R$72</f>
        <v>3500000</v>
      </c>
      <c r="J107" s="71">
        <v>3000000</v>
      </c>
      <c r="K107" s="71">
        <v>3000000</v>
      </c>
      <c r="L107" s="71">
        <v>3000000</v>
      </c>
      <c r="M107" s="71">
        <v>3000000</v>
      </c>
      <c r="N107" s="71">
        <v>3000000</v>
      </c>
      <c r="O107" s="4">
        <f t="shared" si="23"/>
        <v>18500000</v>
      </c>
      <c r="P107" s="34">
        <f t="shared" si="32"/>
        <v>-2500000</v>
      </c>
      <c r="Q107" s="40">
        <f t="shared" si="33"/>
        <v>0</v>
      </c>
      <c r="R107" s="38"/>
      <c r="S107" s="2"/>
      <c r="T107" s="2"/>
    </row>
    <row r="108" spans="1:20" x14ac:dyDescent="0.25">
      <c r="A108" s="5" t="s">
        <v>28</v>
      </c>
      <c r="B108" s="4"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2"/>
        <v>0</v>
      </c>
      <c r="Q108" s="40">
        <f t="shared" si="33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2"/>
        <v>0</v>
      </c>
      <c r="Q109" s="40">
        <f t="shared" si="33"/>
        <v>0</v>
      </c>
      <c r="R109" s="38"/>
      <c r="S109" s="2"/>
      <c r="T109" s="2"/>
    </row>
    <row r="110" spans="1:20" x14ac:dyDescent="0.25">
      <c r="A110" s="5" t="s">
        <v>182</v>
      </c>
      <c r="B110" s="4">
        <v>36000000</v>
      </c>
      <c r="C110" s="84">
        <v>0</v>
      </c>
      <c r="D110" s="84">
        <v>0</v>
      </c>
      <c r="E110" s="84">
        <v>3500000</v>
      </c>
      <c r="F110" s="84">
        <v>3500000</v>
      </c>
      <c r="G110" s="84">
        <v>5500000</v>
      </c>
      <c r="H110" s="84">
        <v>0</v>
      </c>
      <c r="I110" s="98">
        <f>+'[9]Planeación 2024 P&amp;K'!$R$70</f>
        <v>4000000</v>
      </c>
      <c r="J110" s="71">
        <v>3500000</v>
      </c>
      <c r="K110" s="71">
        <v>4500000</v>
      </c>
      <c r="L110" s="71">
        <v>3500000</v>
      </c>
      <c r="M110" s="71">
        <v>3500000</v>
      </c>
      <c r="N110" s="71">
        <v>3500000</v>
      </c>
      <c r="O110" s="4">
        <f t="shared" si="23"/>
        <v>35000000</v>
      </c>
      <c r="P110" s="34">
        <f t="shared" si="32"/>
        <v>-1000000</v>
      </c>
      <c r="Q110" s="40">
        <f t="shared" si="33"/>
        <v>0</v>
      </c>
      <c r="R110" s="38"/>
      <c r="S110" s="2"/>
      <c r="T110" s="2"/>
    </row>
    <row r="111" spans="1:20" x14ac:dyDescent="0.25">
      <c r="A111" s="21" t="s">
        <v>149</v>
      </c>
      <c r="B111" s="4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4">
        <v>1150000</v>
      </c>
      <c r="K111" s="4"/>
      <c r="L111" s="4"/>
      <c r="M111" s="68">
        <v>9293000</v>
      </c>
      <c r="N111" s="4">
        <f>+M111+1150000</f>
        <v>10443000</v>
      </c>
      <c r="O111" s="4">
        <f t="shared" si="23"/>
        <v>23186000</v>
      </c>
      <c r="P111" s="34">
        <f t="shared" si="32"/>
        <v>1150000</v>
      </c>
      <c r="Q111" s="40">
        <f t="shared" si="33"/>
        <v>0</v>
      </c>
      <c r="R111" s="38"/>
      <c r="S111" s="2"/>
      <c r="T111" s="2"/>
    </row>
    <row r="112" spans="1:20" x14ac:dyDescent="0.25">
      <c r="A112" s="5" t="s">
        <v>82</v>
      </c>
      <c r="B112" s="4">
        <f>27264000+2000000</f>
        <v>29264000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6">
        <f>+'[9]Planeación 2024 P&amp;K'!$R$51</f>
        <v>2044000</v>
      </c>
      <c r="J112" s="4">
        <v>3044000</v>
      </c>
      <c r="K112" s="4">
        <f>+[10]Resumennna!W326</f>
        <v>0</v>
      </c>
      <c r="L112" s="4">
        <f>5000000+3044000</f>
        <v>8044000</v>
      </c>
      <c r="M112" s="4">
        <f>+[10]Resumennna!Y326</f>
        <v>0</v>
      </c>
      <c r="N112" s="4">
        <v>2044000</v>
      </c>
      <c r="O112" s="4">
        <f t="shared" si="23"/>
        <v>32308000</v>
      </c>
      <c r="P112" s="34">
        <f t="shared" si="32"/>
        <v>3044000</v>
      </c>
      <c r="Q112" s="40">
        <f t="shared" si="33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2"/>
        <v>0</v>
      </c>
      <c r="Q113" s="40">
        <f t="shared" si="33"/>
        <v>0</v>
      </c>
      <c r="R113" s="38"/>
      <c r="S113" s="2"/>
      <c r="T113" s="2"/>
    </row>
    <row r="114" spans="1:20" x14ac:dyDescent="0.25">
      <c r="A114" s="67" t="s">
        <v>93</v>
      </c>
      <c r="B114" s="4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6">
        <f>+'[9]Planeación 2024 P&amp;K'!$R$156</f>
        <v>1250000</v>
      </c>
      <c r="J114" s="4">
        <f t="shared" ref="J114:N114" si="49">+I114</f>
        <v>1250000</v>
      </c>
      <c r="K114" s="4">
        <f t="shared" si="49"/>
        <v>1250000</v>
      </c>
      <c r="L114" s="4">
        <f t="shared" si="49"/>
        <v>1250000</v>
      </c>
      <c r="M114" s="4">
        <f t="shared" si="49"/>
        <v>1250000</v>
      </c>
      <c r="N114" s="4">
        <f t="shared" si="49"/>
        <v>1250000</v>
      </c>
      <c r="O114" s="4">
        <f t="shared" si="23"/>
        <v>15400000</v>
      </c>
      <c r="P114" s="34">
        <f t="shared" si="32"/>
        <v>400000</v>
      </c>
      <c r="Q114" s="40">
        <f t="shared" si="33"/>
        <v>0</v>
      </c>
      <c r="R114" s="38"/>
      <c r="S114" s="2"/>
      <c r="T114" s="2"/>
    </row>
    <row r="115" spans="1:20" x14ac:dyDescent="0.25">
      <c r="A115" s="5" t="s">
        <v>78</v>
      </c>
      <c r="B115" s="4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6">
        <f t="shared" ref="I115:N115" si="50">+H115</f>
        <v>250000</v>
      </c>
      <c r="J115" s="4">
        <f t="shared" si="50"/>
        <v>250000</v>
      </c>
      <c r="K115" s="4">
        <f t="shared" si="50"/>
        <v>250000</v>
      </c>
      <c r="L115" s="4">
        <f t="shared" si="50"/>
        <v>250000</v>
      </c>
      <c r="M115" s="4">
        <f t="shared" si="50"/>
        <v>250000</v>
      </c>
      <c r="N115" s="4">
        <f t="shared" si="50"/>
        <v>250000</v>
      </c>
      <c r="O115" s="4">
        <f t="shared" si="23"/>
        <v>3000000</v>
      </c>
      <c r="P115" s="34">
        <f t="shared" si="32"/>
        <v>0</v>
      </c>
      <c r="Q115" s="40">
        <f t="shared" si="33"/>
        <v>0</v>
      </c>
      <c r="R115" s="38"/>
      <c r="S115" s="2"/>
      <c r="T115" s="2"/>
    </row>
    <row r="116" spans="1:20" ht="24" x14ac:dyDescent="0.25">
      <c r="A116" s="60" t="s">
        <v>147</v>
      </c>
      <c r="B116" s="4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6">
        <f>+'[9]Planeación 2024 P&amp;K'!$R$56</f>
        <v>8000000</v>
      </c>
      <c r="J116" s="4">
        <f t="shared" ref="J116:N116" si="51">8000000</f>
        <v>8000000</v>
      </c>
      <c r="K116" s="4">
        <f t="shared" si="51"/>
        <v>8000000</v>
      </c>
      <c r="L116" s="4">
        <f t="shared" si="51"/>
        <v>8000000</v>
      </c>
      <c r="M116" s="4">
        <f t="shared" si="51"/>
        <v>8000000</v>
      </c>
      <c r="N116" s="4">
        <f t="shared" si="51"/>
        <v>8000000</v>
      </c>
      <c r="O116" s="4">
        <f t="shared" si="23"/>
        <v>88000000</v>
      </c>
      <c r="P116" s="34">
        <f t="shared" si="32"/>
        <v>12000000</v>
      </c>
      <c r="Q116" s="40">
        <f t="shared" si="33"/>
        <v>0</v>
      </c>
      <c r="R116" s="38"/>
      <c r="S116" s="2"/>
      <c r="T116" s="2"/>
    </row>
    <row r="117" spans="1:20" ht="24" x14ac:dyDescent="0.25">
      <c r="A117" s="60" t="s">
        <v>148</v>
      </c>
      <c r="B117" s="4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4"/>
      <c r="K117" s="4"/>
      <c r="L117" s="4"/>
      <c r="M117" s="4"/>
      <c r="N117" s="4"/>
      <c r="O117" s="4">
        <f t="shared" si="23"/>
        <v>7000000</v>
      </c>
      <c r="P117" s="34">
        <f t="shared" si="32"/>
        <v>-7000000</v>
      </c>
      <c r="Q117" s="40">
        <f t="shared" si="33"/>
        <v>0</v>
      </c>
      <c r="R117" s="38"/>
      <c r="S117" s="2"/>
      <c r="T117" s="2"/>
    </row>
    <row r="118" spans="1:20" x14ac:dyDescent="0.25">
      <c r="A118" s="81" t="s">
        <v>169</v>
      </c>
      <c r="B118" s="4">
        <f>191160000-47790000</f>
        <v>143370000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6">
        <f>+'[9]Planeación 2024 P&amp;K'!$R$157</f>
        <v>15930000</v>
      </c>
      <c r="J118" s="4">
        <f t="shared" ref="J118:N118" si="52">+I118</f>
        <v>15930000</v>
      </c>
      <c r="K118" s="4">
        <f t="shared" si="52"/>
        <v>15930000</v>
      </c>
      <c r="L118" s="4">
        <f t="shared" si="52"/>
        <v>15930000</v>
      </c>
      <c r="M118" s="4">
        <f t="shared" si="52"/>
        <v>15930000</v>
      </c>
      <c r="N118" s="4">
        <f t="shared" si="52"/>
        <v>15930000</v>
      </c>
      <c r="O118" s="4">
        <f t="shared" si="23"/>
        <v>143370000</v>
      </c>
      <c r="P118" s="34">
        <f t="shared" si="32"/>
        <v>0</v>
      </c>
      <c r="Q118" s="40">
        <f t="shared" si="33"/>
        <v>0</v>
      </c>
      <c r="R118" s="38"/>
      <c r="S118" s="2"/>
      <c r="T118" s="2"/>
    </row>
    <row r="119" spans="1:20" x14ac:dyDescent="0.25">
      <c r="A119" s="21" t="s">
        <v>186</v>
      </c>
      <c r="B119" s="4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f>3500000-500000</f>
        <v>3000000</v>
      </c>
      <c r="K119" s="4">
        <f>+[10]Resumennna!W342</f>
        <v>0</v>
      </c>
      <c r="L119" s="4">
        <f>+[10]Resumennna!X342</f>
        <v>0</v>
      </c>
      <c r="M119" s="4">
        <f>+[10]Resumennna!Y342</f>
        <v>0</v>
      </c>
      <c r="N119" s="4">
        <f>+[10]Resumennna!Z342</f>
        <v>0</v>
      </c>
      <c r="O119" s="4">
        <f t="shared" si="23"/>
        <v>10000000</v>
      </c>
      <c r="P119" s="34">
        <f t="shared" si="32"/>
        <v>0</v>
      </c>
      <c r="Q119" s="40">
        <f t="shared" si="33"/>
        <v>0</v>
      </c>
      <c r="R119" s="38"/>
      <c r="S119" s="2"/>
      <c r="T119" s="2"/>
    </row>
    <row r="120" spans="1:20" x14ac:dyDescent="0.25">
      <c r="A120" s="81" t="s">
        <v>70</v>
      </c>
      <c r="B120" s="4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6">
        <f>+'[9]Planeación 2024 P&amp;K'!$R$163</f>
        <v>6820000</v>
      </c>
      <c r="J120" s="4">
        <f t="shared" ref="J120:N120" si="53">+I120</f>
        <v>6820000</v>
      </c>
      <c r="K120" s="4">
        <f t="shared" si="53"/>
        <v>6820000</v>
      </c>
      <c r="L120" s="4">
        <f t="shared" si="53"/>
        <v>6820000</v>
      </c>
      <c r="M120" s="4">
        <f t="shared" si="53"/>
        <v>6820000</v>
      </c>
      <c r="N120" s="4">
        <f t="shared" si="53"/>
        <v>6820000</v>
      </c>
      <c r="O120" s="4">
        <f t="shared" si="23"/>
        <v>82064000</v>
      </c>
      <c r="P120" s="34">
        <f t="shared" si="32"/>
        <v>-7456000</v>
      </c>
      <c r="Q120" s="40">
        <f t="shared" si="33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3"/>
        <v>0</v>
      </c>
      <c r="R121" s="38"/>
      <c r="S121" s="2"/>
      <c r="T121" s="2"/>
    </row>
    <row r="122" spans="1:20" x14ac:dyDescent="0.25">
      <c r="A122" s="21" t="s">
        <v>170</v>
      </c>
      <c r="B122" s="4">
        <v>30000000</v>
      </c>
      <c r="C122" s="4"/>
      <c r="D122" s="4"/>
      <c r="E122" s="4"/>
      <c r="F122" s="69">
        <v>10000000</v>
      </c>
      <c r="G122" s="69">
        <v>0</v>
      </c>
      <c r="H122" s="69">
        <v>20000000</v>
      </c>
      <c r="I122" s="69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4">
        <f t="shared" si="23"/>
        <v>30000000</v>
      </c>
      <c r="P122" s="34">
        <f t="shared" si="32"/>
        <v>0</v>
      </c>
      <c r="Q122" s="40">
        <f t="shared" si="33"/>
        <v>0</v>
      </c>
      <c r="R122" s="38"/>
      <c r="S122" s="2"/>
      <c r="T122" s="2"/>
    </row>
    <row r="123" spans="1:20" x14ac:dyDescent="0.25">
      <c r="A123" s="21" t="s">
        <v>171</v>
      </c>
      <c r="B123" s="4">
        <f>24000000-9000000</f>
        <v>15000000</v>
      </c>
      <c r="C123" s="4"/>
      <c r="D123" s="4"/>
      <c r="E123" s="69">
        <v>0</v>
      </c>
      <c r="F123" s="69">
        <v>7500000</v>
      </c>
      <c r="G123" s="69">
        <v>0</v>
      </c>
      <c r="H123" s="69">
        <v>0</v>
      </c>
      <c r="I123" s="69">
        <v>0</v>
      </c>
      <c r="J123" s="68">
        <v>0</v>
      </c>
      <c r="K123" s="68">
        <v>0</v>
      </c>
      <c r="L123" s="68">
        <v>0</v>
      </c>
      <c r="M123" s="68">
        <f>+F123</f>
        <v>7500000</v>
      </c>
      <c r="N123" s="68">
        <v>0</v>
      </c>
      <c r="O123" s="4">
        <f t="shared" si="23"/>
        <v>15000000</v>
      </c>
      <c r="P123" s="34">
        <f t="shared" si="32"/>
        <v>0</v>
      </c>
      <c r="Q123" s="40">
        <f t="shared" si="33"/>
        <v>0</v>
      </c>
      <c r="R123" s="38"/>
      <c r="S123" s="2"/>
      <c r="T123" s="2"/>
    </row>
    <row r="124" spans="1:20" x14ac:dyDescent="0.25">
      <c r="A124" s="21" t="s">
        <v>172</v>
      </c>
      <c r="B124" s="4">
        <f>10000000-4500000</f>
        <v>5500000</v>
      </c>
      <c r="C124" s="4"/>
      <c r="D124" s="4"/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8">
        <v>0</v>
      </c>
      <c r="K124" s="68">
        <v>0</v>
      </c>
      <c r="L124" s="68">
        <v>0</v>
      </c>
      <c r="M124" s="68">
        <v>0</v>
      </c>
      <c r="N124" s="68">
        <f>5000000+500000</f>
        <v>5500000</v>
      </c>
      <c r="O124" s="4">
        <f t="shared" si="23"/>
        <v>5500000</v>
      </c>
      <c r="P124" s="34">
        <f t="shared" si="32"/>
        <v>0</v>
      </c>
      <c r="Q124" s="40">
        <f t="shared" si="33"/>
        <v>0</v>
      </c>
      <c r="R124" s="38"/>
      <c r="S124" s="2"/>
      <c r="T124" s="2"/>
    </row>
    <row r="125" spans="1:20" x14ac:dyDescent="0.25">
      <c r="A125" s="21" t="s">
        <v>173</v>
      </c>
      <c r="B125" s="4">
        <v>10000000</v>
      </c>
      <c r="C125" s="4"/>
      <c r="D125" s="4"/>
      <c r="E125" s="4"/>
      <c r="F125" s="4"/>
      <c r="G125" s="69">
        <v>10000000</v>
      </c>
      <c r="H125" s="69">
        <v>0</v>
      </c>
      <c r="I125" s="69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2"/>
        <v>0</v>
      </c>
      <c r="Q125" s="40">
        <f t="shared" si="33"/>
        <v>0</v>
      </c>
      <c r="R125" s="38"/>
      <c r="S125" s="2"/>
      <c r="T125" s="2"/>
    </row>
    <row r="126" spans="1:20" x14ac:dyDescent="0.25">
      <c r="A126" s="21" t="s">
        <v>174</v>
      </c>
      <c r="B126" s="4">
        <v>10000000</v>
      </c>
      <c r="C126" s="4"/>
      <c r="D126" s="4"/>
      <c r="E126" s="4"/>
      <c r="F126" s="4"/>
      <c r="G126" s="69">
        <v>10000000</v>
      </c>
      <c r="H126" s="69">
        <v>0</v>
      </c>
      <c r="I126" s="69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2"/>
        <v>0</v>
      </c>
      <c r="Q126" s="40">
        <f t="shared" si="33"/>
        <v>0</v>
      </c>
      <c r="R126" s="38"/>
      <c r="S126" s="2"/>
      <c r="T126" s="2"/>
    </row>
    <row r="127" spans="1:20" x14ac:dyDescent="0.25">
      <c r="A127" s="21" t="s">
        <v>175</v>
      </c>
      <c r="B127" s="4">
        <v>10000000</v>
      </c>
      <c r="C127" s="4"/>
      <c r="D127" s="4"/>
      <c r="E127" s="4"/>
      <c r="F127" s="4"/>
      <c r="G127" s="69">
        <v>10000000</v>
      </c>
      <c r="H127" s="69">
        <v>0</v>
      </c>
      <c r="I127" s="69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2"/>
        <v>0</v>
      </c>
      <c r="Q127" s="40">
        <f t="shared" si="33"/>
        <v>0</v>
      </c>
      <c r="R127" s="38"/>
      <c r="S127" s="2"/>
      <c r="T127" s="2"/>
    </row>
    <row r="128" spans="1:20" x14ac:dyDescent="0.25">
      <c r="A128" s="21" t="s">
        <v>176</v>
      </c>
      <c r="B128" s="4">
        <v>20000000</v>
      </c>
      <c r="C128" s="4"/>
      <c r="D128" s="4"/>
      <c r="E128" s="4"/>
      <c r="F128" s="4"/>
      <c r="G128" s="69">
        <v>0</v>
      </c>
      <c r="H128" s="69">
        <v>0</v>
      </c>
      <c r="I128" s="97">
        <v>10000000</v>
      </c>
      <c r="J128" s="4"/>
      <c r="K128" s="4"/>
      <c r="L128" s="4"/>
      <c r="M128" s="4"/>
      <c r="N128" s="68">
        <v>10000000</v>
      </c>
      <c r="O128" s="4">
        <f t="shared" si="23"/>
        <v>20000000</v>
      </c>
      <c r="P128" s="34">
        <f t="shared" si="32"/>
        <v>0</v>
      </c>
      <c r="Q128" s="40">
        <f t="shared" si="33"/>
        <v>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9">
        <v>1500000000</v>
      </c>
      <c r="L129" s="4"/>
      <c r="M129" s="4"/>
      <c r="N129" s="4"/>
      <c r="O129" s="4">
        <f t="shared" si="23"/>
        <v>1500000000</v>
      </c>
      <c r="P129" s="34">
        <f t="shared" si="32"/>
        <v>0</v>
      </c>
      <c r="Q129" s="40">
        <f t="shared" si="33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v>9000000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v>3000000</v>
      </c>
      <c r="L130" s="4"/>
      <c r="M130" s="4"/>
      <c r="N130" s="4"/>
      <c r="O130" s="4">
        <f t="shared" si="23"/>
        <v>15000000</v>
      </c>
      <c r="P130" s="34">
        <f t="shared" si="32"/>
        <v>6000000</v>
      </c>
      <c r="Q130" s="40">
        <f t="shared" si="33"/>
        <v>0</v>
      </c>
      <c r="R130" s="38"/>
      <c r="S130" s="2"/>
      <c r="T130" s="2"/>
    </row>
    <row r="131" spans="1:22" x14ac:dyDescent="0.25">
      <c r="A131" s="21" t="s">
        <v>33</v>
      </c>
      <c r="B131" s="4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100">
        <f t="shared" ref="I131:N131" si="54">+H131</f>
        <v>1091500</v>
      </c>
      <c r="J131" s="4">
        <f t="shared" si="54"/>
        <v>1091500</v>
      </c>
      <c r="K131" s="4">
        <f t="shared" si="54"/>
        <v>1091500</v>
      </c>
      <c r="L131" s="4">
        <f t="shared" si="54"/>
        <v>1091500</v>
      </c>
      <c r="M131" s="4">
        <f t="shared" si="54"/>
        <v>1091500</v>
      </c>
      <c r="N131" s="4">
        <f t="shared" si="54"/>
        <v>1091500</v>
      </c>
      <c r="O131" s="4">
        <f t="shared" si="23"/>
        <v>10697000</v>
      </c>
      <c r="P131" s="34">
        <f t="shared" si="32"/>
        <v>872000</v>
      </c>
      <c r="Q131" s="40">
        <f t="shared" si="33"/>
        <v>0</v>
      </c>
      <c r="R131" s="38"/>
      <c r="S131" s="2"/>
      <c r="T131" s="2"/>
    </row>
    <row r="132" spans="1:22" x14ac:dyDescent="0.25">
      <c r="A132" s="81" t="s">
        <v>75</v>
      </c>
      <c r="B132" s="4">
        <f>16000000-400000</f>
        <v>15600000</v>
      </c>
      <c r="C132" s="4">
        <v>0</v>
      </c>
      <c r="D132" s="4">
        <v>0</v>
      </c>
      <c r="E132" s="4">
        <v>0</v>
      </c>
      <c r="F132" s="4">
        <v>0</v>
      </c>
      <c r="G132" s="69">
        <v>0</v>
      </c>
      <c r="H132" s="69">
        <v>0</v>
      </c>
      <c r="I132" s="95">
        <f>+'[9]Planeación 2024 P&amp;K'!$R$162</f>
        <v>2600000</v>
      </c>
      <c r="J132" s="68">
        <v>2000000</v>
      </c>
      <c r="K132" s="68">
        <v>2000000</v>
      </c>
      <c r="L132" s="68">
        <v>2000000</v>
      </c>
      <c r="M132" s="68">
        <v>2000000</v>
      </c>
      <c r="N132" s="68">
        <v>2000000</v>
      </c>
      <c r="O132" s="4">
        <f t="shared" si="23"/>
        <v>12600000</v>
      </c>
      <c r="P132" s="34">
        <f t="shared" si="32"/>
        <v>-3000000</v>
      </c>
      <c r="Q132" s="40">
        <f t="shared" si="33"/>
        <v>0</v>
      </c>
      <c r="R132" s="38"/>
      <c r="S132" s="2"/>
      <c r="T132" s="2"/>
    </row>
    <row r="133" spans="1:22" x14ac:dyDescent="0.25">
      <c r="A133" s="21" t="s">
        <v>68</v>
      </c>
      <c r="B133" s="4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6">
        <f>+'[9]Planeación 2024 P&amp;K'!$R$60</f>
        <v>4000000</v>
      </c>
      <c r="J133" s="4">
        <f t="shared" ref="J133:N133" si="55">+I133</f>
        <v>4000000</v>
      </c>
      <c r="K133" s="4">
        <f t="shared" si="55"/>
        <v>4000000</v>
      </c>
      <c r="L133" s="4">
        <f t="shared" si="55"/>
        <v>4000000</v>
      </c>
      <c r="M133" s="4">
        <f t="shared" si="55"/>
        <v>4000000</v>
      </c>
      <c r="N133" s="4">
        <f t="shared" si="55"/>
        <v>4000000</v>
      </c>
      <c r="O133" s="4">
        <f t="shared" si="23"/>
        <v>48000000</v>
      </c>
      <c r="P133" s="34">
        <f t="shared" si="32"/>
        <v>0</v>
      </c>
      <c r="Q133" s="40">
        <f t="shared" si="33"/>
        <v>0</v>
      </c>
      <c r="R133" s="38"/>
      <c r="S133" s="2"/>
      <c r="T133" s="2"/>
    </row>
    <row r="134" spans="1:22" x14ac:dyDescent="0.25">
      <c r="A134" s="21" t="s">
        <v>86</v>
      </c>
      <c r="B134" s="4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6">
        <f>+'[9]Planeación 2024 P&amp;K'!$R$177</f>
        <v>3254372.0833333335</v>
      </c>
      <c r="J134" s="4">
        <f t="shared" ref="J134:N134" si="56">+I134</f>
        <v>3254372.0833333335</v>
      </c>
      <c r="K134" s="4">
        <f t="shared" si="56"/>
        <v>3254372.0833333335</v>
      </c>
      <c r="L134" s="4">
        <f t="shared" si="56"/>
        <v>3254372.0833333335</v>
      </c>
      <c r="M134" s="4">
        <f t="shared" si="56"/>
        <v>3254372.0833333335</v>
      </c>
      <c r="N134" s="4">
        <f t="shared" si="56"/>
        <v>3254372.0833333335</v>
      </c>
      <c r="O134" s="4">
        <f t="shared" si="23"/>
        <v>39052465</v>
      </c>
      <c r="P134" s="34">
        <f t="shared" ref="P134:P155" si="57">+O134-B134</f>
        <v>0</v>
      </c>
      <c r="Q134" s="40">
        <f t="shared" si="33"/>
        <v>0</v>
      </c>
      <c r="R134" s="38"/>
      <c r="S134" s="2"/>
      <c r="T134" s="2"/>
    </row>
    <row r="135" spans="1:22" x14ac:dyDescent="0.25">
      <c r="A135" s="81" t="s">
        <v>108</v>
      </c>
      <c r="B135" s="4">
        <f>42000000-22000000</f>
        <v>20000000</v>
      </c>
      <c r="C135" s="4">
        <v>3500000</v>
      </c>
      <c r="D135" s="90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6">
        <f>+'[9]Planeación 2024 P&amp;K'!$R$159</f>
        <v>2000000</v>
      </c>
      <c r="J135" s="4">
        <v>0</v>
      </c>
      <c r="K135" s="4">
        <f>+D135-500000</f>
        <v>3000000</v>
      </c>
      <c r="L135" s="4">
        <f>+K135+500000</f>
        <v>3500000</v>
      </c>
      <c r="M135" s="4">
        <f t="shared" ref="M135" si="58">+L135</f>
        <v>3500000</v>
      </c>
      <c r="N135" s="4">
        <f>+M135-500000</f>
        <v>3000000</v>
      </c>
      <c r="O135" s="4">
        <f t="shared" si="23"/>
        <v>30000000</v>
      </c>
      <c r="P135" s="34">
        <f t="shared" si="57"/>
        <v>10000000</v>
      </c>
      <c r="Q135" s="40">
        <f t="shared" ref="Q135:Q144" si="59">SUM(C135:N135)-O135</f>
        <v>0</v>
      </c>
      <c r="R135" s="38"/>
      <c r="S135" s="2"/>
      <c r="T135" s="2"/>
    </row>
    <row r="136" spans="1:22" x14ac:dyDescent="0.25">
      <c r="A136" s="5" t="s">
        <v>76</v>
      </c>
      <c r="B136" s="4">
        <v>9000000</v>
      </c>
      <c r="C136" s="4">
        <v>0</v>
      </c>
      <c r="D136" s="90">
        <v>6000000</v>
      </c>
      <c r="E136" s="90">
        <v>0</v>
      </c>
      <c r="F136" s="90">
        <v>0</v>
      </c>
      <c r="G136" s="90">
        <v>0</v>
      </c>
      <c r="H136" s="90">
        <v>3000000</v>
      </c>
      <c r="I136" s="96">
        <f>+'[9]Planeación 2024 P&amp;K'!$R$186</f>
        <v>10000000</v>
      </c>
      <c r="J136" s="70">
        <v>0</v>
      </c>
      <c r="K136" s="70">
        <v>3000000</v>
      </c>
      <c r="L136" s="70">
        <v>0</v>
      </c>
      <c r="M136" s="4">
        <f>+[10]Resumennna!Y343</f>
        <v>0</v>
      </c>
      <c r="N136" s="4">
        <f>+[10]Resumennna!Z343</f>
        <v>0</v>
      </c>
      <c r="O136" s="4">
        <f t="shared" si="23"/>
        <v>22000000</v>
      </c>
      <c r="P136" s="34">
        <f t="shared" si="57"/>
        <v>13000000</v>
      </c>
      <c r="Q136" s="40">
        <f t="shared" si="59"/>
        <v>0</v>
      </c>
      <c r="R136" s="38"/>
      <c r="S136" s="2"/>
      <c r="T136" s="2"/>
    </row>
    <row r="137" spans="1:22" x14ac:dyDescent="0.25">
      <c r="A137" s="5" t="s">
        <v>61</v>
      </c>
      <c r="B137" s="4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5000000</v>
      </c>
      <c r="K137" s="4">
        <f>+[10]Resumennna!W318</f>
        <v>0</v>
      </c>
      <c r="L137" s="4">
        <f>+[10]Resumennna!X318</f>
        <v>0</v>
      </c>
      <c r="M137" s="4">
        <v>5000000</v>
      </c>
      <c r="N137" s="4">
        <f>+[10]Resumennna!Z318</f>
        <v>0</v>
      </c>
      <c r="O137" s="4">
        <f t="shared" si="23"/>
        <v>10000000</v>
      </c>
      <c r="P137" s="34">
        <f t="shared" si="57"/>
        <v>0</v>
      </c>
      <c r="Q137" s="40">
        <f t="shared" si="59"/>
        <v>0</v>
      </c>
      <c r="R137" s="38"/>
      <c r="S137" s="2"/>
      <c r="T137" s="2"/>
    </row>
    <row r="138" spans="1:22" x14ac:dyDescent="0.25">
      <c r="A138" s="5" t="s">
        <v>146</v>
      </c>
      <c r="B138" s="4">
        <v>137548000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6">
        <f>+'[9]Planeación 2024 P&amp;K'!$R$54</f>
        <v>8200000</v>
      </c>
      <c r="J138" s="4">
        <f>+I138+19574000</f>
        <v>27774000</v>
      </c>
      <c r="K138" s="4">
        <f>+I138</f>
        <v>8200000</v>
      </c>
      <c r="L138" s="4">
        <f t="shared" ref="L138:N138" si="60">+K138</f>
        <v>8200000</v>
      </c>
      <c r="M138" s="4">
        <f t="shared" si="60"/>
        <v>8200000</v>
      </c>
      <c r="N138" s="4">
        <f t="shared" si="60"/>
        <v>8200000</v>
      </c>
      <c r="O138" s="4">
        <f t="shared" si="23"/>
        <v>137548000</v>
      </c>
      <c r="P138" s="34">
        <f t="shared" si="57"/>
        <v>0</v>
      </c>
      <c r="Q138" s="40">
        <f t="shared" si="59"/>
        <v>0</v>
      </c>
      <c r="R138" s="38"/>
      <c r="S138" s="2"/>
      <c r="T138" s="2"/>
    </row>
    <row r="139" spans="1:22" x14ac:dyDescent="0.25">
      <c r="A139" s="5" t="s">
        <v>83</v>
      </c>
      <c r="B139" s="4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6">
        <f>+'[9]Planeación 2024 P&amp;K'!$R$59</f>
        <v>500000</v>
      </c>
      <c r="J139" s="4">
        <f t="shared" ref="J139:N139" si="61">+I139</f>
        <v>500000</v>
      </c>
      <c r="K139" s="4">
        <f t="shared" si="61"/>
        <v>500000</v>
      </c>
      <c r="L139" s="4">
        <f t="shared" si="61"/>
        <v>500000</v>
      </c>
      <c r="M139" s="4">
        <f t="shared" si="61"/>
        <v>500000</v>
      </c>
      <c r="N139" s="4">
        <f t="shared" si="61"/>
        <v>500000</v>
      </c>
      <c r="O139" s="4">
        <f t="shared" si="23"/>
        <v>6000000</v>
      </c>
      <c r="P139" s="34">
        <f t="shared" si="57"/>
        <v>0</v>
      </c>
      <c r="Q139" s="40">
        <f t="shared" si="59"/>
        <v>0</v>
      </c>
      <c r="R139" s="38"/>
      <c r="S139" s="2"/>
      <c r="T139" s="2"/>
    </row>
    <row r="140" spans="1:22" x14ac:dyDescent="0.25">
      <c r="A140" s="5" t="s">
        <v>56</v>
      </c>
      <c r="B140" s="4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6">
        <f>+'[9]Planeación 2024 P&amp;K'!$R$178</f>
        <v>1508333.3333333333</v>
      </c>
      <c r="J140" s="4">
        <f t="shared" ref="J140:N140" si="62">+I140</f>
        <v>1508333.3333333333</v>
      </c>
      <c r="K140" s="4">
        <f t="shared" si="62"/>
        <v>1508333.3333333333</v>
      </c>
      <c r="L140" s="4">
        <f t="shared" si="62"/>
        <v>1508333.3333333333</v>
      </c>
      <c r="M140" s="4">
        <f t="shared" si="62"/>
        <v>1508333.3333333333</v>
      </c>
      <c r="N140" s="4">
        <f t="shared" si="62"/>
        <v>1508333.3333333333</v>
      </c>
      <c r="O140" s="4">
        <f t="shared" si="23"/>
        <v>18100000.000000004</v>
      </c>
      <c r="P140" s="34">
        <f t="shared" si="57"/>
        <v>0</v>
      </c>
      <c r="Q140" s="40">
        <f t="shared" si="59"/>
        <v>0</v>
      </c>
      <c r="R140" s="38"/>
      <c r="S140" s="2"/>
      <c r="T140" s="2"/>
    </row>
    <row r="141" spans="1:22" x14ac:dyDescent="0.25">
      <c r="A141" s="5" t="s">
        <v>38</v>
      </c>
      <c r="B141" s="4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6">
        <f t="shared" ref="I141:N142" si="63">+H141</f>
        <v>2464000</v>
      </c>
      <c r="J141" s="4">
        <f t="shared" si="63"/>
        <v>2464000</v>
      </c>
      <c r="K141" s="4">
        <f t="shared" si="63"/>
        <v>2464000</v>
      </c>
      <c r="L141" s="4">
        <f t="shared" si="63"/>
        <v>2464000</v>
      </c>
      <c r="M141" s="4">
        <f t="shared" si="63"/>
        <v>2464000</v>
      </c>
      <c r="N141" s="4">
        <f t="shared" si="63"/>
        <v>2464000</v>
      </c>
      <c r="O141" s="4">
        <f t="shared" si="23"/>
        <v>29568000</v>
      </c>
      <c r="P141" s="34">
        <f t="shared" si="57"/>
        <v>0</v>
      </c>
      <c r="Q141" s="40">
        <f t="shared" si="59"/>
        <v>0</v>
      </c>
      <c r="R141" s="38"/>
      <c r="S141" s="2"/>
      <c r="T141" s="2"/>
    </row>
    <row r="142" spans="1:22" x14ac:dyDescent="0.25">
      <c r="A142" s="5" t="s">
        <v>39</v>
      </c>
      <c r="B142" s="4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6">
        <f t="shared" si="63"/>
        <v>16000000</v>
      </c>
      <c r="J142" s="4">
        <f t="shared" si="63"/>
        <v>16000000</v>
      </c>
      <c r="K142" s="4">
        <f t="shared" si="63"/>
        <v>16000000</v>
      </c>
      <c r="L142" s="4">
        <f t="shared" si="63"/>
        <v>16000000</v>
      </c>
      <c r="M142" s="4">
        <f t="shared" si="63"/>
        <v>16000000</v>
      </c>
      <c r="N142" s="4">
        <f t="shared" si="63"/>
        <v>16000000</v>
      </c>
      <c r="O142" s="4">
        <f>SUM(C142:N142)</f>
        <v>274364800</v>
      </c>
      <c r="P142" s="34">
        <f t="shared" si="57"/>
        <v>52364800</v>
      </c>
      <c r="Q142" s="40">
        <f t="shared" si="59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64">SUM(B82:B142)</f>
        <v>4176837988.7873907</v>
      </c>
      <c r="C143" s="8">
        <f t="shared" si="64"/>
        <v>210216582.39894927</v>
      </c>
      <c r="D143" s="8">
        <f t="shared" si="64"/>
        <v>229170582.39894927</v>
      </c>
      <c r="E143" s="8">
        <f t="shared" si="64"/>
        <v>214674982.39894927</v>
      </c>
      <c r="F143" s="8">
        <f t="shared" si="64"/>
        <v>166913782.39894927</v>
      </c>
      <c r="G143" s="8">
        <f t="shared" si="64"/>
        <v>250604689.23228261</v>
      </c>
      <c r="H143" s="8">
        <f t="shared" si="64"/>
        <v>241157089.23228261</v>
      </c>
      <c r="I143" s="8">
        <f t="shared" si="64"/>
        <v>245157607.23228261</v>
      </c>
      <c r="J143" s="8">
        <f t="shared" si="64"/>
        <v>246382807.23228261</v>
      </c>
      <c r="K143" s="8">
        <f t="shared" si="64"/>
        <v>1764563607.2322824</v>
      </c>
      <c r="L143" s="8">
        <f t="shared" si="64"/>
        <v>295577807.23228258</v>
      </c>
      <c r="M143" s="8">
        <f t="shared" si="64"/>
        <v>234772807.23228261</v>
      </c>
      <c r="N143" s="8">
        <f t="shared" si="64"/>
        <v>260216807.23228261</v>
      </c>
      <c r="O143" s="8">
        <f t="shared" si="64"/>
        <v>4359409151.4540577</v>
      </c>
      <c r="P143" s="34">
        <f t="shared" si="57"/>
        <v>182571162.66666698</v>
      </c>
      <c r="Q143" s="40">
        <f t="shared" si="59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5">+B143+B81+B49</f>
        <v>9939582392.7940598</v>
      </c>
      <c r="C144" s="15">
        <f t="shared" si="65"/>
        <v>594304604.70405233</v>
      </c>
      <c r="D144" s="15">
        <f t="shared" si="65"/>
        <v>689168746.70405233</v>
      </c>
      <c r="E144" s="15">
        <f t="shared" si="65"/>
        <v>542801797.82305241</v>
      </c>
      <c r="F144" s="15">
        <f t="shared" si="65"/>
        <v>446337097.82305241</v>
      </c>
      <c r="G144" s="15">
        <f t="shared" si="65"/>
        <v>748628004.65638578</v>
      </c>
      <c r="H144" s="15">
        <f t="shared" si="65"/>
        <v>731130404.65638578</v>
      </c>
      <c r="I144" s="15">
        <f t="shared" si="65"/>
        <v>907020922.65638578</v>
      </c>
      <c r="J144" s="15">
        <f t="shared" si="65"/>
        <v>614355608.65638578</v>
      </c>
      <c r="K144" s="15">
        <f t="shared" si="65"/>
        <v>3411336408.6563854</v>
      </c>
      <c r="L144" s="15">
        <f t="shared" si="65"/>
        <v>715029362.65638566</v>
      </c>
      <c r="M144" s="15">
        <f t="shared" si="65"/>
        <v>665040237.22738576</v>
      </c>
      <c r="N144" s="15">
        <f t="shared" si="65"/>
        <v>755285722.1473856</v>
      </c>
      <c r="O144" s="15">
        <f t="shared" si="65"/>
        <v>10679438918.367294</v>
      </c>
      <c r="P144" s="34">
        <f t="shared" si="57"/>
        <v>739856525.57323456</v>
      </c>
      <c r="Q144" s="40">
        <f t="shared" si="59"/>
        <v>141000000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66">+B14-B144</f>
        <v>2.460479736328125E-4</v>
      </c>
      <c r="C145" s="9">
        <f t="shared" si="66"/>
        <v>-418782888.01425302</v>
      </c>
      <c r="D145" s="9">
        <f t="shared" si="66"/>
        <v>-507158459.13425303</v>
      </c>
      <c r="E145" s="9">
        <f t="shared" si="66"/>
        <v>2145697060.6267471</v>
      </c>
      <c r="F145" s="9">
        <f t="shared" si="66"/>
        <v>-251349668.49325308</v>
      </c>
      <c r="G145" s="9">
        <f t="shared" si="66"/>
        <v>-547152004.44658649</v>
      </c>
      <c r="H145" s="9">
        <f t="shared" si="66"/>
        <v>-523165833.56658649</v>
      </c>
      <c r="I145" s="9">
        <f t="shared" si="66"/>
        <v>4270789426.3134131</v>
      </c>
      <c r="J145" s="9">
        <f t="shared" si="66"/>
        <v>-392092972.5197556</v>
      </c>
      <c r="K145" s="9">
        <f t="shared" si="66"/>
        <v>-3189073772.5197554</v>
      </c>
      <c r="L145" s="9">
        <f t="shared" si="66"/>
        <v>-492766726.51975548</v>
      </c>
      <c r="M145" s="9">
        <f t="shared" si="66"/>
        <v>-442777601.09075558</v>
      </c>
      <c r="N145" s="9">
        <f t="shared" si="66"/>
        <v>-533023086.01075542</v>
      </c>
      <c r="O145" s="9">
        <f t="shared" si="66"/>
        <v>-739856525.37554741</v>
      </c>
      <c r="P145" s="34">
        <f t="shared" si="57"/>
        <v>-739856525.37579346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>
        <f>+'[7]Planeación 2024 P&amp;K'!$P$190</f>
        <v>748628004.89410889</v>
      </c>
      <c r="H146" s="2"/>
      <c r="I146" s="2"/>
      <c r="J146" s="2"/>
      <c r="K146" s="2"/>
      <c r="L146" s="2"/>
      <c r="M146" s="2"/>
      <c r="N146" s="2"/>
      <c r="P146" s="34">
        <f t="shared" si="57"/>
        <v>0</v>
      </c>
      <c r="T146" s="2"/>
    </row>
    <row r="147" spans="1:23" x14ac:dyDescent="0.25">
      <c r="B147" s="2"/>
      <c r="E147" s="2"/>
      <c r="G147" s="2">
        <f>+G146-G144</f>
        <v>0.23772311210632324</v>
      </c>
      <c r="H147" s="2"/>
      <c r="I147" s="2"/>
      <c r="J147" s="2"/>
      <c r="N147" s="2">
        <f>SUM(C144:N144)</f>
        <v>10820438918.367294</v>
      </c>
      <c r="P147" s="34">
        <f t="shared" si="57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I148" s="2"/>
      <c r="J148" s="2"/>
      <c r="N148" s="2">
        <f>+N147-O144</f>
        <v>141000000</v>
      </c>
      <c r="P148" s="34">
        <f t="shared" si="57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14100000</v>
      </c>
      <c r="P149" s="34">
        <f t="shared" si="57"/>
        <v>0</v>
      </c>
      <c r="Q149" s="2"/>
      <c r="T149" s="2">
        <v>-1173139539</v>
      </c>
      <c r="U149" s="20"/>
    </row>
    <row r="150" spans="1:23" x14ac:dyDescent="0.25">
      <c r="B150" s="2"/>
      <c r="G150" s="2">
        <f>+G143+G147</f>
        <v>250604689.47000572</v>
      </c>
      <c r="H150" s="2"/>
      <c r="J150" s="2"/>
      <c r="P150" s="34">
        <f t="shared" si="57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57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57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57"/>
        <v>0</v>
      </c>
      <c r="T153" s="2" t="e">
        <f>-#REF!</f>
        <v>#REF!</v>
      </c>
    </row>
    <row r="154" spans="1:23" x14ac:dyDescent="0.25">
      <c r="H154" s="2"/>
      <c r="P154" s="34">
        <f t="shared" si="57"/>
        <v>0</v>
      </c>
      <c r="T154" s="2" t="e">
        <f>-#REF!</f>
        <v>#REF!</v>
      </c>
    </row>
    <row r="155" spans="1:23" x14ac:dyDescent="0.25">
      <c r="H155" s="2"/>
      <c r="I155" s="2">
        <f>+I132+I99</f>
        <v>6600000</v>
      </c>
      <c r="P155" s="34">
        <f t="shared" si="57"/>
        <v>0</v>
      </c>
      <c r="T155" s="2">
        <f>+S48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  <row r="160" spans="1:23" x14ac:dyDescent="0.25">
      <c r="G160" s="2">
        <f>+G146-'2024Ej'!P100</f>
        <v>171774070.89410889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R80" activePane="bottomRight" state="frozen"/>
      <selection pane="topRight" activeCell="B1" sqref="B1"/>
      <selection pane="bottomLeft" activeCell="A5" sqref="A5"/>
      <selection pane="bottomRight" activeCell="V105" sqref="V105"/>
    </sheetView>
  </sheetViews>
  <sheetFormatPr baseColWidth="10" defaultColWidth="11.42578125" defaultRowHeight="15" x14ac:dyDescent="0.25"/>
  <cols>
    <col min="1" max="1" width="73.42578125" customWidth="1"/>
    <col min="2" max="2" width="17.85546875" bestFit="1" customWidth="1"/>
    <col min="3" max="8" width="15.5703125" customWidth="1"/>
    <col min="9" max="11" width="16.7109375" customWidth="1"/>
    <col min="12" max="23" width="16.140625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5" bestFit="1" customWidth="1"/>
    <col min="54" max="54" width="11.42578125" customWidth="1"/>
  </cols>
  <sheetData>
    <row r="1" spans="1:54" x14ac:dyDescent="0.25">
      <c r="A1" s="101" t="s">
        <v>51</v>
      </c>
      <c r="B1" s="101"/>
      <c r="C1" s="101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102" t="s">
        <v>192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23"/>
      <c r="AR3" s="23"/>
      <c r="AS3" s="23"/>
    </row>
    <row r="4" spans="1:54" ht="15.75" thickBot="1" x14ac:dyDescent="0.3">
      <c r="A4" s="23"/>
      <c r="B4" s="23"/>
      <c r="C4" s="103" t="s">
        <v>105</v>
      </c>
      <c r="D4" s="104"/>
      <c r="E4" s="105"/>
      <c r="F4" s="103" t="s">
        <v>107</v>
      </c>
      <c r="G4" s="104"/>
      <c r="H4" s="105"/>
      <c r="I4" s="103" t="s">
        <v>109</v>
      </c>
      <c r="J4" s="104"/>
      <c r="K4" s="105"/>
      <c r="L4" s="103" t="s">
        <v>112</v>
      </c>
      <c r="M4" s="104"/>
      <c r="N4" s="105"/>
      <c r="O4" s="103" t="s">
        <v>113</v>
      </c>
      <c r="P4" s="104"/>
      <c r="Q4" s="105"/>
      <c r="R4" s="103" t="s">
        <v>115</v>
      </c>
      <c r="S4" s="104"/>
      <c r="T4" s="105"/>
      <c r="U4" s="103" t="s">
        <v>116</v>
      </c>
      <c r="V4" s="104"/>
      <c r="W4" s="105"/>
      <c r="X4" s="103" t="s">
        <v>117</v>
      </c>
      <c r="Y4" s="104"/>
      <c r="Z4" s="105"/>
      <c r="AA4" s="103" t="s">
        <v>122</v>
      </c>
      <c r="AB4" s="104"/>
      <c r="AC4" s="105"/>
      <c r="AD4" s="103" t="s">
        <v>123</v>
      </c>
      <c r="AE4" s="104"/>
      <c r="AF4" s="105"/>
      <c r="AG4" s="103" t="s">
        <v>124</v>
      </c>
      <c r="AH4" s="104"/>
      <c r="AI4" s="105"/>
      <c r="AJ4" s="103" t="s">
        <v>125</v>
      </c>
      <c r="AK4" s="104"/>
      <c r="AL4" s="105"/>
      <c r="AM4" s="106" t="s">
        <v>48</v>
      </c>
      <c r="AN4" s="107"/>
      <c r="AO4" s="107"/>
      <c r="AP4" s="108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6" t="s">
        <v>49</v>
      </c>
      <c r="AQ5" s="33"/>
      <c r="AR5" s="33"/>
      <c r="AS5" s="33"/>
      <c r="BA5" s="76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2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/>
      <c r="Y6" s="4"/>
      <c r="Z6" s="4">
        <f t="shared" ref="Z6:Z12" si="5">+X6-Y6</f>
        <v>0</v>
      </c>
      <c r="AA6" s="4"/>
      <c r="AB6" s="4"/>
      <c r="AC6" s="4">
        <f t="shared" ref="AC6:AC26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6" si="9">+AJ6-AK6</f>
        <v>0</v>
      </c>
      <c r="AM6" s="4">
        <f>+C6+F6+I6+L6+O6+R6+U6+X6+AA6+AD6+AG6+AJ6</f>
        <v>164481902.87786472</v>
      </c>
      <c r="AN6" s="4">
        <f>+D6+G6+J6+M6+P6+S6+V6+Y6+AB6+AE6+AH6+AK6</f>
        <v>100383546.73</v>
      </c>
      <c r="AO6" s="4">
        <f>+AM6-AN6</f>
        <v>64098356.147864714</v>
      </c>
      <c r="AP6" s="43">
        <f t="shared" ref="AP6:AP12" si="10">+AO6/AM6</f>
        <v>0.38969853233921214</v>
      </c>
      <c r="AQ6" s="34">
        <f>+AM6-B6</f>
        <v>-121796937.41755408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1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2">+U7-V7</f>
        <v>32190675.619999997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5" si="13">+C7+F7+I7+L7+O7+R7+U7+X7+AA7+AD7+AG7+AJ7</f>
        <v>483227130.75</v>
      </c>
      <c r="AN7" s="4">
        <f t="shared" ref="AN7:AN15" si="14">+D7+G7+J7+M7+P7+S7+V7+Y7+AB7+AE7+AH7+AK7</f>
        <v>269081423.19999999</v>
      </c>
      <c r="AO7" s="4">
        <f t="shared" ref="AO7:AO15" si="15">+AM7-AN7</f>
        <v>214145707.55000001</v>
      </c>
      <c r="AP7" s="43">
        <f t="shared" si="10"/>
        <v>0.44315745934552953</v>
      </c>
      <c r="AQ7" s="34">
        <f t="shared" ref="AQ7:AQ95" si="16">+AM7-B7</f>
        <v>-357824074.09357905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1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/>
      <c r="U8" s="4">
        <f>+'202401anual'!I8</f>
        <v>1500000</v>
      </c>
      <c r="V8" s="4">
        <f>13661656.56+70374</f>
        <v>13732030.560000001</v>
      </c>
      <c r="W8" s="4">
        <f t="shared" si="12"/>
        <v>-12232030.560000001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3"/>
        <v>10500000</v>
      </c>
      <c r="AN8" s="4">
        <f t="shared" si="14"/>
        <v>108156603.84999999</v>
      </c>
      <c r="AO8" s="4">
        <f t="shared" si="15"/>
        <v>-97656603.849999994</v>
      </c>
      <c r="AP8" s="43">
        <f t="shared" si="10"/>
        <v>-9.3006289380952367</v>
      </c>
      <c r="AQ8" s="34"/>
      <c r="AR8" s="34"/>
      <c r="AS8" s="34"/>
      <c r="AT8" s="2"/>
      <c r="AU8" s="2"/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1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2"/>
        <v>-4603852.6599999852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3"/>
        <v>462000</v>
      </c>
      <c r="AN9" s="4">
        <f t="shared" si="14"/>
        <v>10602742.389999986</v>
      </c>
      <c r="AO9" s="4">
        <f t="shared" si="15"/>
        <v>-10140742.389999986</v>
      </c>
      <c r="AP9" s="43">
        <f t="shared" si="10"/>
        <v>-21.949658852813823</v>
      </c>
      <c r="AQ9" s="34">
        <f t="shared" si="16"/>
        <v>-330000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1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2"/>
        <v>63535972.273341194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3"/>
        <v>700894638.7333883</v>
      </c>
      <c r="AN10" s="4">
        <f t="shared" si="14"/>
        <v>363992446.45000005</v>
      </c>
      <c r="AO10" s="4">
        <f t="shared" si="15"/>
        <v>336902192.28338826</v>
      </c>
      <c r="AP10" s="43">
        <f t="shared" si="10"/>
        <v>0.48067451748841483</v>
      </c>
      <c r="AQ10" s="34">
        <f t="shared" si="16"/>
        <v>-619903271.76137412</v>
      </c>
      <c r="AR10" s="34"/>
      <c r="AS10" s="34"/>
      <c r="AT10" s="2"/>
      <c r="AU10" s="2"/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1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2"/>
        <v>176404.25220065934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3"/>
        <v>1984610.3354046154</v>
      </c>
      <c r="AN11" s="4">
        <f t="shared" si="14"/>
        <v>868960.27999999991</v>
      </c>
      <c r="AO11" s="4">
        <f t="shared" si="15"/>
        <v>1115650.0554046156</v>
      </c>
      <c r="AP11" s="43">
        <f t="shared" si="10"/>
        <v>0.56215068293351433</v>
      </c>
      <c r="AQ11" s="34">
        <f t="shared" si="16"/>
        <v>-1469580.8875642368</v>
      </c>
      <c r="AR11" s="34"/>
      <c r="AS11" s="34"/>
      <c r="AT11" s="2"/>
      <c r="AU11" s="2"/>
      <c r="AV11" s="2"/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1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2"/>
        <v>434044.13741966849</v>
      </c>
      <c r="X12" s="4"/>
      <c r="Y12" s="4"/>
      <c r="Z12" s="4">
        <f t="shared" si="5"/>
        <v>0</v>
      </c>
      <c r="AA12" s="4"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3"/>
        <v>3361722.6119376798</v>
      </c>
      <c r="AN12" s="4">
        <f t="shared" si="14"/>
        <v>1112363.96</v>
      </c>
      <c r="AO12" s="4">
        <f t="shared" si="15"/>
        <v>2249358.6519376799</v>
      </c>
      <c r="AP12" s="43">
        <f t="shared" si="10"/>
        <v>0.66910893955083373</v>
      </c>
      <c r="AQ12" s="34">
        <f t="shared" si="16"/>
        <v>-2489316.5230790381</v>
      </c>
      <c r="AR12" s="34"/>
      <c r="AS12" s="34"/>
      <c r="AT12" s="2"/>
      <c r="AU12" s="2"/>
      <c r="AV12" s="2"/>
      <c r="AW12" s="2"/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1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2"/>
        <v>-23838287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3"/>
        <v>0</v>
      </c>
      <c r="AN13" s="4">
        <f>+D13+G13+J13+M13+P13+S13+V13+Y13+AB13+AE13+AH13+AK13</f>
        <v>154359054.22</v>
      </c>
      <c r="AO13" s="4">
        <f t="shared" si="15"/>
        <v>-154359054.22</v>
      </c>
      <c r="AP13" s="29" t="e">
        <f>+AO13/AM13</f>
        <v>#DIV/0!</v>
      </c>
      <c r="AQ13" s="34"/>
      <c r="AR13" s="34"/>
      <c r="AS13" s="34"/>
      <c r="AT13" s="2"/>
      <c r="AU13" s="2"/>
      <c r="AV13" s="2"/>
      <c r="AW13" s="2"/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1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/>
      <c r="U14" s="4">
        <v>0</v>
      </c>
      <c r="V14" s="4">
        <v>4696694.25</v>
      </c>
      <c r="W14" s="4">
        <f t="shared" si="12"/>
        <v>-4696694.25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3"/>
        <v>0</v>
      </c>
      <c r="AN14" s="4">
        <f t="shared" si="14"/>
        <v>20886727.43</v>
      </c>
      <c r="AO14" s="4">
        <f t="shared" si="15"/>
        <v>-20886727.43</v>
      </c>
      <c r="AP14" s="29" t="e">
        <f>+AO14/AM14</f>
        <v>#DIV/0!</v>
      </c>
      <c r="AQ14" s="34">
        <f t="shared" si="16"/>
        <v>0</v>
      </c>
      <c r="AR14" s="34"/>
      <c r="AS14" s="34"/>
      <c r="AT14" s="2"/>
      <c r="AU14" s="2"/>
      <c r="AV14" s="2"/>
      <c r="AW14" s="2"/>
    </row>
    <row r="15" spans="1:54" x14ac:dyDescent="0.25">
      <c r="A15" s="5" t="s">
        <v>130</v>
      </c>
      <c r="B15" s="4">
        <f>+'202401anual'!B13</f>
        <v>7463357206.8025599</v>
      </c>
      <c r="C15" s="4">
        <v>0</v>
      </c>
      <c r="D15" s="4">
        <v>0</v>
      </c>
      <c r="E15" s="4">
        <f t="shared" si="11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4963357207</v>
      </c>
      <c r="V15" s="4"/>
      <c r="W15" s="4">
        <f t="shared" si="12"/>
        <v>4963357207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3"/>
        <v>7463357207</v>
      </c>
      <c r="AN15" s="4">
        <f t="shared" si="14"/>
        <v>2500000000</v>
      </c>
      <c r="AO15" s="4">
        <f t="shared" si="15"/>
        <v>4963357207</v>
      </c>
      <c r="AP15" s="43">
        <f>+AO15/AM15</f>
        <v>0.66503010231706305</v>
      </c>
      <c r="AQ15" s="34"/>
      <c r="AR15" s="34"/>
      <c r="AS15" s="34"/>
      <c r="AT15" s="2"/>
      <c r="AU15" s="2"/>
      <c r="AV15" s="2"/>
      <c r="AW15" s="2"/>
    </row>
    <row r="16" spans="1:54" ht="18.75" x14ac:dyDescent="0.3">
      <c r="A16" s="11" t="s">
        <v>2</v>
      </c>
      <c r="B16" s="7">
        <f t="shared" ref="B16:C16" si="17">SUM(B6:B15)</f>
        <v>9939582392.7943058</v>
      </c>
      <c r="C16" s="7">
        <f t="shared" si="17"/>
        <v>175521716.68979934</v>
      </c>
      <c r="D16" s="7">
        <f>SUM(D6:D15)</f>
        <v>148006091.18000001</v>
      </c>
      <c r="E16" s="7">
        <f t="shared" ref="E16:AL16" si="18">SUM(E6:E15)</f>
        <v>27515625.509799346</v>
      </c>
      <c r="F16" s="7">
        <f t="shared" ref="F16" si="19">SUM(F6:F15)</f>
        <v>182010287.56979933</v>
      </c>
      <c r="G16" s="7">
        <f t="shared" si="18"/>
        <v>124578098.92999999</v>
      </c>
      <c r="H16" s="7">
        <f t="shared" si="18"/>
        <v>57432188.639799356</v>
      </c>
      <c r="I16" s="7">
        <f t="shared" si="18"/>
        <v>2688498858.4497995</v>
      </c>
      <c r="J16" s="7">
        <f>SUM(J6:J15)</f>
        <v>2622512085.6399999</v>
      </c>
      <c r="K16" s="7">
        <f t="shared" si="18"/>
        <v>65986772.809799343</v>
      </c>
      <c r="L16" s="7">
        <f t="shared" si="18"/>
        <v>194987429.32979932</v>
      </c>
      <c r="M16" s="7">
        <f>SUM(M6:M15)</f>
        <v>163245727.63000003</v>
      </c>
      <c r="N16" s="7">
        <f t="shared" si="18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8"/>
        <v>8806603.9997993354</v>
      </c>
      <c r="R16" s="7">
        <f t="shared" si="18"/>
        <v>207964571.08979931</v>
      </c>
      <c r="S16" s="7">
        <f>SUM(S6:S15)</f>
        <v>125467715.61000001</v>
      </c>
      <c r="T16" s="7">
        <f t="shared" si="18"/>
        <v>103979760.57979937</v>
      </c>
      <c r="U16" s="7">
        <f t="shared" si="18"/>
        <v>5177810348.969799</v>
      </c>
      <c r="V16" s="7">
        <f t="shared" si="18"/>
        <v>152964753.31</v>
      </c>
      <c r="W16" s="7">
        <f t="shared" si="18"/>
        <v>5024845595.6597996</v>
      </c>
      <c r="X16" s="7">
        <f t="shared" si="18"/>
        <v>0</v>
      </c>
      <c r="Y16" s="7">
        <f t="shared" si="18"/>
        <v>0</v>
      </c>
      <c r="Z16" s="7">
        <f t="shared" si="18"/>
        <v>0</v>
      </c>
      <c r="AA16" s="7">
        <f t="shared" si="18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>SUM(AM6:AM15)</f>
        <v>8828269212.3085957</v>
      </c>
      <c r="AN16" s="7">
        <f>SUM(AN6:AN15)</f>
        <v>3529443868.5100002</v>
      </c>
      <c r="AO16" s="7">
        <f>SUM(AO6:AO15)</f>
        <v>5298825343.7985954</v>
      </c>
      <c r="AP16" s="31">
        <f>+AO16/AM16</f>
        <v>0.60021111911843827</v>
      </c>
      <c r="AQ16" s="34">
        <f t="shared" si="16"/>
        <v>-1111313180.4857101</v>
      </c>
      <c r="AR16" s="35"/>
      <c r="AS16" s="35"/>
      <c r="AT16" s="51">
        <f>W16/U16*100</f>
        <v>97.045763691587609</v>
      </c>
      <c r="AU16" s="2"/>
      <c r="AV16" s="2"/>
      <c r="AW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0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21">+L17-M17</f>
        <v>1924997</v>
      </c>
      <c r="O17" s="4">
        <f>+'202401anual'!G15</f>
        <v>81283194</v>
      </c>
      <c r="P17" s="4">
        <f>+[11]Resultados!$G$9-[11]Resultados!$G$26</f>
        <v>81051556</v>
      </c>
      <c r="Q17" s="4">
        <f>+O17-P17</f>
        <v>231638</v>
      </c>
      <c r="R17" s="4">
        <f>+'202401anual'!I15</f>
        <v>81283194</v>
      </c>
      <c r="S17" s="4">
        <f>+[12]Resultados!$H$9</f>
        <v>76453889</v>
      </c>
      <c r="T17" s="4">
        <f t="shared" ref="T17:T23" si="22">+R17-S17</f>
        <v>4829305</v>
      </c>
      <c r="U17" s="4">
        <f>+'202401anual'!I15</f>
        <v>81283194</v>
      </c>
      <c r="V17" s="4">
        <f>+[13]Resultados!$I$9</f>
        <v>76942178</v>
      </c>
      <c r="W17" s="4">
        <f t="shared" ref="W17:W23" si="23">+U17-V17</f>
        <v>4341016</v>
      </c>
      <c r="X17" s="4"/>
      <c r="Y17" s="4"/>
      <c r="Z17" s="4">
        <f t="shared" ref="Z17:Z23" si="24">+X17-Y17</f>
        <v>0</v>
      </c>
      <c r="AA17" s="4"/>
      <c r="AB17" s="4"/>
      <c r="AC17" s="4">
        <f t="shared" si="6"/>
        <v>0</v>
      </c>
      <c r="AD17" s="4"/>
      <c r="AE17" s="4"/>
      <c r="AF17" s="4">
        <f t="shared" ref="AF17:AF23" si="25">+AD17-AE17</f>
        <v>0</v>
      </c>
      <c r="AG17" s="4"/>
      <c r="AH17" s="4"/>
      <c r="AI17" s="4">
        <f>+AG17-AH17</f>
        <v>0</v>
      </c>
      <c r="AJ17" s="4"/>
      <c r="AK17" s="4"/>
      <c r="AL17" s="4">
        <f t="shared" si="9"/>
        <v>0</v>
      </c>
      <c r="AM17" s="4">
        <f t="shared" ref="AM17:AM23" si="26">+C17+F17+I17+L17+O17+R17+U17+X17+AA17+AD17+AG17+AJ17</f>
        <v>568982358</v>
      </c>
      <c r="AN17" s="4">
        <f t="shared" ref="AN17:AN23" si="27">+D17+G17+J17+M17+P17+S17+V17+Y17+AB17+AE17+AH17+AK17</f>
        <v>544684352</v>
      </c>
      <c r="AO17" s="4">
        <f>+AM17-AN17</f>
        <v>24298006</v>
      </c>
      <c r="AP17" s="43">
        <f t="shared" ref="AP17:AP23" si="28">+AO17/AM17</f>
        <v>4.2704322301676707E-2</v>
      </c>
      <c r="AQ17" s="34">
        <f t="shared" si="16"/>
        <v>-406415973.34543312</v>
      </c>
      <c r="AR17" s="36"/>
      <c r="AS17" s="36"/>
      <c r="AT17" s="2"/>
      <c r="AU17" s="2"/>
      <c r="AV17" s="2"/>
      <c r="AW17" s="2"/>
    </row>
    <row r="18" spans="1:54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20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21"/>
        <v>0</v>
      </c>
      <c r="O18" s="4">
        <v>0</v>
      </c>
      <c r="P18" s="4">
        <v>0</v>
      </c>
      <c r="Q18" s="4">
        <f t="shared" ref="Q18" si="29">+O18-P18</f>
        <v>0</v>
      </c>
      <c r="R18" s="4">
        <f>+'202401anual'!H16</f>
        <v>0</v>
      </c>
      <c r="S18" s="4">
        <v>0</v>
      </c>
      <c r="T18" s="4">
        <f t="shared" si="22"/>
        <v>0</v>
      </c>
      <c r="U18" s="4"/>
      <c r="V18" s="4"/>
      <c r="W18" s="4">
        <f t="shared" si="23"/>
        <v>0</v>
      </c>
      <c r="X18" s="4"/>
      <c r="Y18" s="4"/>
      <c r="Z18" s="4">
        <f t="shared" si="24"/>
        <v>0</v>
      </c>
      <c r="AA18" s="4"/>
      <c r="AB18" s="4"/>
      <c r="AC18" s="4">
        <f t="shared" si="6"/>
        <v>0</v>
      </c>
      <c r="AD18" s="4"/>
      <c r="AE18" s="4"/>
      <c r="AF18" s="4">
        <f t="shared" si="25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9"/>
        <v>0</v>
      </c>
      <c r="AM18" s="4">
        <f t="shared" si="26"/>
        <v>0</v>
      </c>
      <c r="AN18" s="4">
        <f t="shared" si="27"/>
        <v>0</v>
      </c>
      <c r="AO18" s="4">
        <f t="shared" ref="AO18:AO23" si="31">+AM18-AN18</f>
        <v>0</v>
      </c>
      <c r="AP18" s="29" t="e">
        <f>+AO18/AM18</f>
        <v>#DIV/0!</v>
      </c>
      <c r="AQ18" s="34">
        <f t="shared" si="16"/>
        <v>0</v>
      </c>
      <c r="AR18" s="36"/>
      <c r="AS18" s="36"/>
      <c r="AT18" s="2"/>
      <c r="AU18" s="2"/>
      <c r="AV18" s="2"/>
      <c r="AW18" s="2"/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0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1"/>
        <v>8000000</v>
      </c>
      <c r="O19" s="4">
        <f>+'202401anual'!G17</f>
        <v>111000000</v>
      </c>
      <c r="P19" s="4">
        <v>6600000</v>
      </c>
      <c r="Q19" s="4">
        <f>+O19-P19</f>
        <v>104400000</v>
      </c>
      <c r="R19" s="4">
        <f>+'202401anual'!H17</f>
        <v>64000000</v>
      </c>
      <c r="S19" s="4">
        <v>50892449</v>
      </c>
      <c r="T19" s="4">
        <f t="shared" si="22"/>
        <v>13107551</v>
      </c>
      <c r="U19" s="4">
        <f>+'202401anual'!I17</f>
        <v>174000000</v>
      </c>
      <c r="V19" s="4">
        <f>3960000+5474588</f>
        <v>9434588</v>
      </c>
      <c r="W19" s="4">
        <f t="shared" si="23"/>
        <v>164565412</v>
      </c>
      <c r="X19" s="4"/>
      <c r="Y19" s="4"/>
      <c r="Z19" s="4">
        <f t="shared" si="24"/>
        <v>0</v>
      </c>
      <c r="AA19" s="4"/>
      <c r="AB19" s="4"/>
      <c r="AC19" s="4">
        <f t="shared" si="6"/>
        <v>0</v>
      </c>
      <c r="AD19" s="4"/>
      <c r="AE19" s="4"/>
      <c r="AF19" s="4">
        <f t="shared" si="25"/>
        <v>0</v>
      </c>
      <c r="AG19" s="4"/>
      <c r="AH19" s="4"/>
      <c r="AI19" s="4">
        <f t="shared" si="30"/>
        <v>0</v>
      </c>
      <c r="AJ19" s="4"/>
      <c r="AK19" s="4"/>
      <c r="AL19" s="4">
        <f t="shared" si="9"/>
        <v>0</v>
      </c>
      <c r="AM19" s="4">
        <f>+C19+F19+I19+L19+O19+R19+U19+X19+AA19+AD19+AG19+AJ19</f>
        <v>385000000</v>
      </c>
      <c r="AN19" s="4">
        <f t="shared" si="27"/>
        <v>66927037</v>
      </c>
      <c r="AO19" s="4">
        <f t="shared" si="31"/>
        <v>318072963</v>
      </c>
      <c r="AP19" s="43">
        <f t="shared" si="28"/>
        <v>0.82616354025974026</v>
      </c>
      <c r="AQ19" s="34">
        <f t="shared" si="16"/>
        <v>138000000</v>
      </c>
      <c r="AR19" s="36"/>
      <c r="AS19" s="36"/>
      <c r="AT19" s="2"/>
      <c r="AU19" s="2"/>
      <c r="AV19" s="2"/>
      <c r="AW19" s="2"/>
      <c r="AX19" s="20"/>
      <c r="AY19" s="20"/>
      <c r="AZ19" s="20"/>
    </row>
    <row r="20" spans="1:54" x14ac:dyDescent="0.25">
      <c r="A20" s="5" t="s">
        <v>8</v>
      </c>
      <c r="B20" s="4">
        <f>+'202401anual'!B27</f>
        <v>1310640000</v>
      </c>
      <c r="C20" s="4">
        <v>4220000</v>
      </c>
      <c r="D20" s="4">
        <v>0</v>
      </c>
      <c r="E20" s="4">
        <f t="shared" si="20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0</v>
      </c>
      <c r="J20" s="4">
        <v>0</v>
      </c>
      <c r="K20" s="4">
        <f t="shared" si="1"/>
        <v>0</v>
      </c>
      <c r="L20" s="4">
        <f>+'202401anual'!F27</f>
        <v>30000000</v>
      </c>
      <c r="M20" s="4">
        <v>0</v>
      </c>
      <c r="N20" s="4">
        <f t="shared" si="21"/>
        <v>30000000</v>
      </c>
      <c r="O20" s="4">
        <f>+'202401anual'!G27</f>
        <v>40000000</v>
      </c>
      <c r="P20" s="4">
        <v>0</v>
      </c>
      <c r="Q20" s="4">
        <f>+O20-P20</f>
        <v>40000000</v>
      </c>
      <c r="R20" s="4">
        <f>+'202401anual'!H27</f>
        <v>0</v>
      </c>
      <c r="S20" s="4">
        <v>0</v>
      </c>
      <c r="T20" s="4">
        <f t="shared" si="22"/>
        <v>0</v>
      </c>
      <c r="U20" s="4">
        <f>+'202401anual'!I27</f>
        <v>0</v>
      </c>
      <c r="V20" s="4">
        <v>0</v>
      </c>
      <c r="W20" s="4">
        <f t="shared" si="23"/>
        <v>0</v>
      </c>
      <c r="X20" s="4"/>
      <c r="Y20" s="4"/>
      <c r="Z20" s="4">
        <f t="shared" si="24"/>
        <v>0</v>
      </c>
      <c r="AA20" s="4"/>
      <c r="AB20" s="4"/>
      <c r="AC20" s="4">
        <f t="shared" si="6"/>
        <v>0</v>
      </c>
      <c r="AD20" s="4"/>
      <c r="AE20" s="4"/>
      <c r="AF20" s="4">
        <f t="shared" si="25"/>
        <v>0</v>
      </c>
      <c r="AG20" s="4"/>
      <c r="AH20" s="4"/>
      <c r="AI20" s="4">
        <f t="shared" si="30"/>
        <v>0</v>
      </c>
      <c r="AJ20" s="4"/>
      <c r="AK20" s="4"/>
      <c r="AL20" s="4">
        <f t="shared" si="9"/>
        <v>0</v>
      </c>
      <c r="AM20" s="4">
        <f>+C20+F20+I20+L20+O20+R20+U20+X20+AA20+AD20+AG20+AJ20</f>
        <v>108440000</v>
      </c>
      <c r="AN20" s="4">
        <f t="shared" si="27"/>
        <v>0</v>
      </c>
      <c r="AO20" s="4">
        <f t="shared" si="31"/>
        <v>108440000</v>
      </c>
      <c r="AP20" s="43">
        <f t="shared" si="28"/>
        <v>1</v>
      </c>
      <c r="AQ20" s="34">
        <f t="shared" si="16"/>
        <v>-1202200000</v>
      </c>
      <c r="AR20" s="36"/>
      <c r="AS20" s="2"/>
      <c r="AU20" s="2"/>
      <c r="AV20" s="2"/>
      <c r="AW20" s="2"/>
      <c r="AX20" s="20"/>
      <c r="AY20" s="20"/>
      <c r="AZ20" s="20"/>
    </row>
    <row r="21" spans="1:54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0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21"/>
        <v>0</v>
      </c>
      <c r="O21" s="4">
        <v>0</v>
      </c>
      <c r="P21" s="4">
        <v>0</v>
      </c>
      <c r="Q21" s="4">
        <f t="shared" ref="Q21:Q22" si="32">+O21-P21</f>
        <v>0</v>
      </c>
      <c r="R21" s="4">
        <f>+'202401anual'!H34</f>
        <v>49350000</v>
      </c>
      <c r="S21" s="4"/>
      <c r="T21" s="4">
        <f t="shared" si="22"/>
        <v>49350000</v>
      </c>
      <c r="U21" s="4">
        <f>+'202401anual'!I33</f>
        <v>91650000</v>
      </c>
      <c r="V21" s="4">
        <f>40495000+84499999</f>
        <v>124994999</v>
      </c>
      <c r="W21" s="4">
        <f t="shared" si="23"/>
        <v>-33344999</v>
      </c>
      <c r="X21" s="4"/>
      <c r="Y21" s="4"/>
      <c r="Z21" s="4">
        <f t="shared" si="24"/>
        <v>0</v>
      </c>
      <c r="AA21" s="4"/>
      <c r="AB21" s="4"/>
      <c r="AC21" s="4">
        <f t="shared" si="6"/>
        <v>0</v>
      </c>
      <c r="AD21" s="4"/>
      <c r="AE21" s="4"/>
      <c r="AF21" s="4">
        <f t="shared" si="25"/>
        <v>0</v>
      </c>
      <c r="AG21" s="4"/>
      <c r="AH21" s="4"/>
      <c r="AI21" s="4">
        <f t="shared" si="30"/>
        <v>0</v>
      </c>
      <c r="AJ21" s="4"/>
      <c r="AK21" s="4"/>
      <c r="AL21" s="4">
        <f t="shared" si="9"/>
        <v>0</v>
      </c>
      <c r="AM21" s="4">
        <f t="shared" si="26"/>
        <v>141000000</v>
      </c>
      <c r="AN21" s="4">
        <f t="shared" si="27"/>
        <v>124994999</v>
      </c>
      <c r="AO21" s="4">
        <f t="shared" si="31"/>
        <v>16005001</v>
      </c>
      <c r="AP21" s="43">
        <f t="shared" si="28"/>
        <v>0.11351064539007093</v>
      </c>
      <c r="AQ21" s="34">
        <f t="shared" si="16"/>
        <v>141000000</v>
      </c>
      <c r="AR21" s="36"/>
      <c r="AS21" s="36"/>
      <c r="AT21" s="2"/>
      <c r="AU21" s="2"/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0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21"/>
        <v>0</v>
      </c>
      <c r="O22" s="4">
        <v>0</v>
      </c>
      <c r="P22" s="4">
        <v>0</v>
      </c>
      <c r="Q22" s="4">
        <f t="shared" si="32"/>
        <v>0</v>
      </c>
      <c r="R22" s="4">
        <f>+'202401anual'!H36</f>
        <v>0</v>
      </c>
      <c r="S22" s="4"/>
      <c r="T22" s="4">
        <f t="shared" si="22"/>
        <v>0</v>
      </c>
      <c r="U22" s="4"/>
      <c r="V22" s="4"/>
      <c r="W22" s="4">
        <f t="shared" si="23"/>
        <v>0</v>
      </c>
      <c r="X22" s="4"/>
      <c r="Y22" s="4"/>
      <c r="Z22" s="4">
        <f t="shared" si="24"/>
        <v>0</v>
      </c>
      <c r="AA22" s="4"/>
      <c r="AB22" s="4"/>
      <c r="AC22" s="4">
        <f t="shared" si="6"/>
        <v>0</v>
      </c>
      <c r="AD22" s="4"/>
      <c r="AE22" s="4"/>
      <c r="AF22" s="4">
        <f t="shared" si="25"/>
        <v>0</v>
      </c>
      <c r="AG22" s="4"/>
      <c r="AH22" s="4"/>
      <c r="AI22" s="4">
        <f t="shared" si="30"/>
        <v>0</v>
      </c>
      <c r="AJ22" s="4"/>
      <c r="AK22" s="4"/>
      <c r="AL22" s="4">
        <f t="shared" si="9"/>
        <v>0</v>
      </c>
      <c r="AM22" s="4">
        <f t="shared" si="26"/>
        <v>0</v>
      </c>
      <c r="AN22" s="4">
        <f t="shared" si="27"/>
        <v>0</v>
      </c>
      <c r="AO22" s="4">
        <f t="shared" si="31"/>
        <v>0</v>
      </c>
      <c r="AP22" s="43" t="e">
        <f t="shared" si="28"/>
        <v>#DIV/0!</v>
      </c>
      <c r="AQ22" s="34">
        <f t="shared" si="16"/>
        <v>0</v>
      </c>
      <c r="AR22" s="36"/>
      <c r="AS22" s="36"/>
      <c r="AT22" s="2"/>
      <c r="AU22" s="2"/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+'202401anual'!B37</f>
        <v>646180000</v>
      </c>
      <c r="C23" s="4">
        <v>46765000</v>
      </c>
      <c r="D23" s="4">
        <f>681340+8239458</f>
        <v>8920798</v>
      </c>
      <c r="E23" s="4">
        <f t="shared" si="20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21"/>
        <v>-41155120</v>
      </c>
      <c r="O23" s="4">
        <f>+'202401anual'!G37</f>
        <v>18015000</v>
      </c>
      <c r="P23" s="4">
        <f>84499999+11543032+1565142+8680596</f>
        <v>106288769</v>
      </c>
      <c r="Q23" s="4">
        <f>+O23-P23</f>
        <v>-88273769</v>
      </c>
      <c r="R23" s="4">
        <f>+'202401anual'!H37</f>
        <v>28015000</v>
      </c>
      <c r="S23" s="4">
        <f>8264079+8194379</f>
        <v>16458458</v>
      </c>
      <c r="T23" s="4">
        <f t="shared" si="22"/>
        <v>11556542</v>
      </c>
      <c r="U23" s="4">
        <f>+'202401anual'!I37</f>
        <v>79015000</v>
      </c>
      <c r="V23" s="4">
        <v>5903533</v>
      </c>
      <c r="W23" s="4">
        <f t="shared" si="23"/>
        <v>73111467</v>
      </c>
      <c r="X23" s="4"/>
      <c r="Y23" s="4"/>
      <c r="Z23" s="4">
        <f t="shared" si="24"/>
        <v>0</v>
      </c>
      <c r="AA23" s="4"/>
      <c r="AB23" s="4"/>
      <c r="AC23" s="4">
        <f t="shared" si="6"/>
        <v>0</v>
      </c>
      <c r="AD23" s="4"/>
      <c r="AE23" s="4"/>
      <c r="AF23" s="4">
        <f t="shared" si="25"/>
        <v>0</v>
      </c>
      <c r="AG23" s="4"/>
      <c r="AH23" s="4"/>
      <c r="AI23" s="4">
        <f t="shared" si="30"/>
        <v>0</v>
      </c>
      <c r="AJ23" s="4"/>
      <c r="AK23" s="4"/>
      <c r="AL23" s="4">
        <f t="shared" si="9"/>
        <v>0</v>
      </c>
      <c r="AM23" s="4">
        <f t="shared" si="26"/>
        <v>263605000</v>
      </c>
      <c r="AN23" s="4">
        <f t="shared" si="27"/>
        <v>241715104</v>
      </c>
      <c r="AO23" s="4">
        <f t="shared" si="31"/>
        <v>21889896</v>
      </c>
      <c r="AP23" s="43">
        <f t="shared" si="28"/>
        <v>8.3040518958289872E-2</v>
      </c>
      <c r="AQ23" s="34">
        <f t="shared" si="16"/>
        <v>-382575000</v>
      </c>
      <c r="AR23" s="36"/>
      <c r="AS23" s="36"/>
      <c r="AT23" s="2"/>
      <c r="AU23" s="2"/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3179218331.3454332</v>
      </c>
      <c r="C24" s="8">
        <f>SUM(C17:C23)</f>
        <v>140268194</v>
      </c>
      <c r="D24" s="8">
        <f t="shared" ref="D24:AL24" si="33">SUM(D17:D23)</f>
        <v>89265348</v>
      </c>
      <c r="E24" s="8">
        <f t="shared" si="33"/>
        <v>51002846</v>
      </c>
      <c r="F24" s="8">
        <f>SUM(F17:F23)</f>
        <v>182268194</v>
      </c>
      <c r="G24" s="8">
        <f t="shared" si="33"/>
        <v>96098334</v>
      </c>
      <c r="H24" s="8">
        <f t="shared" si="33"/>
        <v>86169860</v>
      </c>
      <c r="I24" s="7">
        <f t="shared" si="33"/>
        <v>98048194</v>
      </c>
      <c r="J24" s="8">
        <f t="shared" si="33"/>
        <v>89159074</v>
      </c>
      <c r="K24" s="8">
        <f t="shared" si="33"/>
        <v>8889120</v>
      </c>
      <c r="L24" s="8">
        <f t="shared" ref="L24:P24" si="34">SUM(L17:L23)</f>
        <v>147548194</v>
      </c>
      <c r="M24" s="8">
        <f t="shared" si="34"/>
        <v>148778317</v>
      </c>
      <c r="N24" s="8">
        <f t="shared" si="34"/>
        <v>-1230123</v>
      </c>
      <c r="O24" s="8">
        <f t="shared" si="34"/>
        <v>250298194</v>
      </c>
      <c r="P24" s="8">
        <f t="shared" si="34"/>
        <v>193940325</v>
      </c>
      <c r="Q24" s="8">
        <f>SUM(Q17:Q23)</f>
        <v>56357869</v>
      </c>
      <c r="R24" s="8">
        <f>SUM(R17:R23)</f>
        <v>222648194</v>
      </c>
      <c r="S24" s="8">
        <f t="shared" ref="S24:W24" si="35">SUM(S17:S23)</f>
        <v>143804796</v>
      </c>
      <c r="T24" s="8">
        <f>SUM(T17:T23)</f>
        <v>78843398</v>
      </c>
      <c r="U24" s="8">
        <f t="shared" si="35"/>
        <v>425948194</v>
      </c>
      <c r="V24" s="8">
        <f>SUM(V17:V23)</f>
        <v>217275298</v>
      </c>
      <c r="W24" s="8">
        <f t="shared" si="35"/>
        <v>208672896</v>
      </c>
      <c r="X24" s="8">
        <f t="shared" ref="X24" si="36">SUM(X17:X23)</f>
        <v>0</v>
      </c>
      <c r="Y24" s="8">
        <f>SUM(Y17:Y23)</f>
        <v>0</v>
      </c>
      <c r="Z24" s="8">
        <f t="shared" ref="Z24" si="37">SUM(Z17:Z23)</f>
        <v>0</v>
      </c>
      <c r="AA24" s="8">
        <f t="shared" si="33"/>
        <v>0</v>
      </c>
      <c r="AB24" s="8">
        <f t="shared" si="33"/>
        <v>0</v>
      </c>
      <c r="AC24" s="8">
        <f t="shared" si="33"/>
        <v>0</v>
      </c>
      <c r="AD24" s="8">
        <f t="shared" si="33"/>
        <v>0</v>
      </c>
      <c r="AE24" s="8">
        <f t="shared" si="33"/>
        <v>0</v>
      </c>
      <c r="AF24" s="8">
        <f t="shared" si="33"/>
        <v>0</v>
      </c>
      <c r="AG24" s="8">
        <f t="shared" si="33"/>
        <v>0</v>
      </c>
      <c r="AH24" s="8">
        <f t="shared" si="33"/>
        <v>0</v>
      </c>
      <c r="AI24" s="8">
        <f t="shared" si="33"/>
        <v>0</v>
      </c>
      <c r="AJ24" s="8">
        <f t="shared" si="33"/>
        <v>0</v>
      </c>
      <c r="AK24" s="8">
        <f t="shared" si="33"/>
        <v>0</v>
      </c>
      <c r="AL24" s="8">
        <f t="shared" si="33"/>
        <v>0</v>
      </c>
      <c r="AM24" s="8">
        <f>SUM(AM17:AM23)</f>
        <v>1467027358</v>
      </c>
      <c r="AN24" s="8">
        <f t="shared" ref="AN24:AO24" si="38">SUM(AN17:AN23)</f>
        <v>978321492</v>
      </c>
      <c r="AO24" s="8">
        <f t="shared" si="38"/>
        <v>488705866</v>
      </c>
      <c r="AP24" s="31">
        <f>+AO24/AM24</f>
        <v>0.33312662053300302</v>
      </c>
      <c r="AQ24" s="34">
        <f t="shared" si="16"/>
        <v>-1712190973.3454332</v>
      </c>
      <c r="AR24" s="50" t="e">
        <f>AI24/AG24*100</f>
        <v>#DIV/0!</v>
      </c>
      <c r="AS24" s="35"/>
      <c r="AT24" s="51">
        <f>W24/U24*100</f>
        <v>48.990205602327308</v>
      </c>
      <c r="AU24" s="2"/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0"/>
        <v>-444883.73089351924</v>
      </c>
      <c r="F25" s="4">
        <v>3754480.2691064808</v>
      </c>
      <c r="G25" s="4">
        <v>3938549</v>
      </c>
      <c r="H25" s="4">
        <f t="shared" ref="H25:H26" si="39"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 t="shared" ref="N25:N26" si="40">+L25-M25</f>
        <v>1753882.2691064808</v>
      </c>
      <c r="O25" s="4">
        <f>+'202401anual'!G46</f>
        <v>3754480.2691064808</v>
      </c>
      <c r="P25" s="4">
        <f>+[11]Resultados!$G$27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+[12]Resultados!$H$27-[12]Resultados!$H$40</f>
        <v>3938549</v>
      </c>
      <c r="T25" s="4">
        <f t="shared" ref="T25:T26" si="41">+R25-S25</f>
        <v>-184068.73089351924</v>
      </c>
      <c r="U25" s="4">
        <f>+'202401anual'!I46</f>
        <v>3754480.2691064808</v>
      </c>
      <c r="V25" s="4">
        <f>+[13]Resultados!$I$27</f>
        <v>3916748</v>
      </c>
      <c r="W25" s="4">
        <f t="shared" ref="W25:W26" si="42">+U25-V25</f>
        <v>-162267.73089351924</v>
      </c>
      <c r="X25" s="4"/>
      <c r="Y25" s="4"/>
      <c r="Z25" s="4">
        <f t="shared" ref="Z25:Z26" si="43">+X25-Y25</f>
        <v>0</v>
      </c>
      <c r="AA25" s="4"/>
      <c r="AB25" s="4"/>
      <c r="AC25" s="4">
        <f t="shared" si="6"/>
        <v>0</v>
      </c>
      <c r="AD25" s="4"/>
      <c r="AE25" s="4"/>
      <c r="AF25" s="4">
        <f t="shared" ref="AF25:AF26" si="44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9"/>
        <v>0</v>
      </c>
      <c r="AM25" s="4">
        <f t="shared" ref="AM25:AM26" si="45">+C25+F25+I25+L25+O25+R25+U25+X25+AA25+AD25+AG25+AJ25</f>
        <v>26281361.883745365</v>
      </c>
      <c r="AN25" s="4">
        <f t="shared" ref="AN25:AN26" si="46">+D25+G25+J25+M25+P25+S25+V25+Y25+AB25+AE25+AH25+AK25</f>
        <v>26428167</v>
      </c>
      <c r="AO25" s="4">
        <f t="shared" ref="AO25:AO26" si="47">+AM25-AN25</f>
        <v>-146805.11625463516</v>
      </c>
      <c r="AP25" s="43">
        <f t="shared" ref="AP25:AP26" si="48">+AO25/AM25</f>
        <v>-5.5859021653452429E-3</v>
      </c>
      <c r="AQ25" s="34">
        <f t="shared" si="16"/>
        <v>-18772401.345532402</v>
      </c>
      <c r="AR25" s="38"/>
      <c r="AS25" s="38"/>
      <c r="AT25" s="2"/>
      <c r="AU25" s="2"/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0"/>
        <v>-31618</v>
      </c>
      <c r="F26" s="4">
        <v>50000000</v>
      </c>
      <c r="G26" s="4">
        <v>31516</v>
      </c>
      <c r="H26" s="4">
        <f t="shared" si="39"/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 t="shared" si="40"/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 t="shared" si="41"/>
        <v>22718382</v>
      </c>
      <c r="U26" s="4">
        <f>+'202401anual'!I47</f>
        <v>3000000</v>
      </c>
      <c r="V26" s="4">
        <v>31618</v>
      </c>
      <c r="W26" s="4">
        <f t="shared" si="42"/>
        <v>2968382</v>
      </c>
      <c r="X26" s="4"/>
      <c r="Y26" s="4"/>
      <c r="Z26" s="4">
        <f t="shared" si="43"/>
        <v>0</v>
      </c>
      <c r="AA26" s="4"/>
      <c r="AB26" s="4"/>
      <c r="AC26" s="4">
        <f t="shared" si="6"/>
        <v>0</v>
      </c>
      <c r="AD26" s="4"/>
      <c r="AE26" s="4"/>
      <c r="AF26" s="4">
        <f t="shared" si="44"/>
        <v>0</v>
      </c>
      <c r="AG26" s="4"/>
      <c r="AH26" s="4"/>
      <c r="AI26" s="4">
        <f t="shared" si="30"/>
        <v>0</v>
      </c>
      <c r="AJ26" s="4">
        <f>+'202401anual'!N47</f>
        <v>0</v>
      </c>
      <c r="AK26" s="4"/>
      <c r="AL26" s="4">
        <f t="shared" si="9"/>
        <v>0</v>
      </c>
      <c r="AM26" s="4">
        <f t="shared" si="45"/>
        <v>93000000</v>
      </c>
      <c r="AN26" s="4">
        <f t="shared" si="46"/>
        <v>6201407</v>
      </c>
      <c r="AO26" s="4">
        <f t="shared" si="47"/>
        <v>86798593</v>
      </c>
      <c r="AP26" s="43">
        <f t="shared" si="48"/>
        <v>0.93331820430107526</v>
      </c>
      <c r="AQ26" s="34">
        <f t="shared" si="16"/>
        <v>-2000000</v>
      </c>
      <c r="AR26" s="48"/>
      <c r="AS26" s="38"/>
      <c r="AT26" s="2"/>
      <c r="AU26" s="2"/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49">SUM(D25:D26)</f>
        <v>4230982</v>
      </c>
      <c r="E27" s="8">
        <f t="shared" si="49"/>
        <v>-476501.73089351924</v>
      </c>
      <c r="F27" s="8">
        <f>SUM(F25:F26)</f>
        <v>53754480.269106477</v>
      </c>
      <c r="G27" s="8">
        <f t="shared" si="49"/>
        <v>3970065</v>
      </c>
      <c r="H27" s="8">
        <f t="shared" si="49"/>
        <v>49784415.269106477</v>
      </c>
      <c r="I27" s="7">
        <f t="shared" si="49"/>
        <v>3754480.2691064808</v>
      </c>
      <c r="J27" s="7">
        <f t="shared" si="49"/>
        <v>10538765</v>
      </c>
      <c r="K27" s="8">
        <f t="shared" ref="K27:L27" si="50">SUM(K25:K26)</f>
        <v>-6784284.7308935188</v>
      </c>
      <c r="L27" s="8">
        <f t="shared" si="50"/>
        <v>3754480.2691064808</v>
      </c>
      <c r="M27" s="8">
        <f t="shared" ref="M27:O27" si="51">SUM(M25:M26)</f>
        <v>2032216</v>
      </c>
      <c r="N27" s="8">
        <f t="shared" si="51"/>
        <v>1722264.2691064808</v>
      </c>
      <c r="O27" s="8">
        <f t="shared" si="51"/>
        <v>21004480.269106481</v>
      </c>
      <c r="P27" s="8">
        <f t="shared" ref="P27" si="52">SUM(P25:P26)</f>
        <v>3939013</v>
      </c>
      <c r="Q27" s="8">
        <f>+O27-P27</f>
        <v>17065467.269106481</v>
      </c>
      <c r="R27" s="8">
        <f t="shared" ref="R27" si="53">SUM(R25:R26)</f>
        <v>26504480.269106481</v>
      </c>
      <c r="S27" s="8">
        <f t="shared" si="49"/>
        <v>3970167</v>
      </c>
      <c r="T27" s="8">
        <f>SUM(T25:T26)</f>
        <v>22534313.269106481</v>
      </c>
      <c r="U27" s="8">
        <f>SUM(U25:U26)</f>
        <v>6754480.2691064812</v>
      </c>
      <c r="V27" s="8">
        <f t="shared" ref="V27:W27" si="54">SUM(V25:V26)</f>
        <v>3948366</v>
      </c>
      <c r="W27" s="8">
        <f t="shared" si="54"/>
        <v>2806114.2691064808</v>
      </c>
      <c r="X27" s="8"/>
      <c r="Y27" s="8">
        <f t="shared" ref="Y27:Z27" si="55">SUM(Y25:Y26)</f>
        <v>0</v>
      </c>
      <c r="Z27" s="8">
        <f t="shared" si="55"/>
        <v>0</v>
      </c>
      <c r="AA27" s="8">
        <f t="shared" si="49"/>
        <v>0</v>
      </c>
      <c r="AB27" s="8">
        <f t="shared" ref="AB27:AC27" si="56">SUM(AB25:AB26)</f>
        <v>0</v>
      </c>
      <c r="AC27" s="8">
        <f t="shared" si="56"/>
        <v>0</v>
      </c>
      <c r="AD27" s="8">
        <f t="shared" si="49"/>
        <v>0</v>
      </c>
      <c r="AE27" s="8">
        <f t="shared" ref="AE27:AF27" si="57">SUM(AE25:AE26)</f>
        <v>0</v>
      </c>
      <c r="AF27" s="8">
        <f t="shared" si="57"/>
        <v>0</v>
      </c>
      <c r="AG27" s="8">
        <f t="shared" si="49"/>
        <v>0</v>
      </c>
      <c r="AH27" s="8">
        <f t="shared" ref="AH27:AI27" si="58">SUM(AH25:AH26)</f>
        <v>0</v>
      </c>
      <c r="AI27" s="8">
        <f t="shared" si="58"/>
        <v>0</v>
      </c>
      <c r="AJ27" s="8">
        <f t="shared" si="49"/>
        <v>0</v>
      </c>
      <c r="AK27" s="8">
        <f t="shared" ref="AK27:AL27" si="59">SUM(AK25:AK26)</f>
        <v>0</v>
      </c>
      <c r="AL27" s="8">
        <f t="shared" si="59"/>
        <v>0</v>
      </c>
      <c r="AM27" s="8">
        <f t="shared" ref="AM27:AO27" si="60">SUM(AM25:AM26)</f>
        <v>119281361.88374537</v>
      </c>
      <c r="AN27" s="8">
        <f t="shared" si="60"/>
        <v>32629574</v>
      </c>
      <c r="AO27" s="8">
        <f t="shared" si="60"/>
        <v>86651787.883745372</v>
      </c>
      <c r="AP27" s="31">
        <f>+AO27/AM27</f>
        <v>0.72644867995553564</v>
      </c>
      <c r="AQ27" s="34">
        <f t="shared" si="16"/>
        <v>-20772401.345532387</v>
      </c>
      <c r="AR27" s="50" t="e">
        <f>AI27/AG27*100</f>
        <v>#DIV/0!</v>
      </c>
      <c r="AS27" s="36"/>
      <c r="AT27" s="51">
        <f>W27/U27*100</f>
        <v>41.544488358949465</v>
      </c>
      <c r="AU27" s="2"/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3319272094.5747108</v>
      </c>
      <c r="C28" s="8">
        <f>+C27+C24</f>
        <v>144022674.26910648</v>
      </c>
      <c r="D28" s="8">
        <f t="shared" ref="D28:AO28" si="61">+D27+D24</f>
        <v>93496330</v>
      </c>
      <c r="E28" s="8">
        <f t="shared" si="61"/>
        <v>50526344.269106477</v>
      </c>
      <c r="F28" s="8">
        <f>+F27+F24</f>
        <v>236022674.26910648</v>
      </c>
      <c r="G28" s="8">
        <f t="shared" si="61"/>
        <v>100068399</v>
      </c>
      <c r="H28" s="8">
        <f t="shared" si="61"/>
        <v>135954275.26910648</v>
      </c>
      <c r="I28" s="7">
        <f t="shared" si="61"/>
        <v>101802674.26910648</v>
      </c>
      <c r="J28" s="8">
        <f t="shared" ref="J28:L28" si="62">+J27+J24</f>
        <v>99697839</v>
      </c>
      <c r="K28" s="8">
        <f t="shared" si="62"/>
        <v>2104835.2691064812</v>
      </c>
      <c r="L28" s="8">
        <f t="shared" si="62"/>
        <v>151302674.26910648</v>
      </c>
      <c r="M28" s="8">
        <f t="shared" ref="M28:P28" si="63">+M27+M24</f>
        <v>150810533</v>
      </c>
      <c r="N28" s="8">
        <f t="shared" si="63"/>
        <v>492141.26910648076</v>
      </c>
      <c r="O28" s="8">
        <f t="shared" si="63"/>
        <v>271302674.26910651</v>
      </c>
      <c r="P28" s="8">
        <f t="shared" si="63"/>
        <v>197879338</v>
      </c>
      <c r="Q28" s="8">
        <f>+Q27+Q24</f>
        <v>73423336.269106477</v>
      </c>
      <c r="R28" s="8">
        <f>+R27+R24</f>
        <v>249152674.26910648</v>
      </c>
      <c r="S28" s="8">
        <f t="shared" si="61"/>
        <v>147774963</v>
      </c>
      <c r="T28" s="8">
        <f>+T27+T24</f>
        <v>101377711.26910648</v>
      </c>
      <c r="U28" s="8">
        <f t="shared" si="61"/>
        <v>432702674.26910651</v>
      </c>
      <c r="V28" s="8">
        <f t="shared" si="61"/>
        <v>221223664</v>
      </c>
      <c r="W28" s="8">
        <f t="shared" si="61"/>
        <v>211479010.26910648</v>
      </c>
      <c r="X28" s="8">
        <f t="shared" ref="X28:Z28" si="64">+X27+X24</f>
        <v>0</v>
      </c>
      <c r="Y28" s="8">
        <f t="shared" si="64"/>
        <v>0</v>
      </c>
      <c r="Z28" s="8">
        <f t="shared" si="64"/>
        <v>0</v>
      </c>
      <c r="AA28" s="8">
        <f t="shared" si="61"/>
        <v>0</v>
      </c>
      <c r="AB28" s="8">
        <f t="shared" ref="AB28:AC28" si="65">+AB27+AB24</f>
        <v>0</v>
      </c>
      <c r="AC28" s="8">
        <f t="shared" si="65"/>
        <v>0</v>
      </c>
      <c r="AD28" s="8">
        <f t="shared" si="61"/>
        <v>0</v>
      </c>
      <c r="AE28" s="8">
        <f t="shared" ref="AE28:AF28" si="66">+AE27+AE24</f>
        <v>0</v>
      </c>
      <c r="AF28" s="8">
        <f t="shared" si="66"/>
        <v>0</v>
      </c>
      <c r="AG28" s="8">
        <f t="shared" si="61"/>
        <v>0</v>
      </c>
      <c r="AH28" s="8">
        <f t="shared" ref="AH28:AI28" si="67">+AH27+AH24</f>
        <v>0</v>
      </c>
      <c r="AI28" s="8">
        <f t="shared" si="67"/>
        <v>0</v>
      </c>
      <c r="AJ28" s="8">
        <f t="shared" si="61"/>
        <v>0</v>
      </c>
      <c r="AK28" s="8">
        <f t="shared" ref="AK28:AL28" si="68">+AK27+AK24</f>
        <v>0</v>
      </c>
      <c r="AL28" s="8">
        <f t="shared" si="68"/>
        <v>0</v>
      </c>
      <c r="AM28" s="8">
        <f t="shared" si="61"/>
        <v>1586308719.8837454</v>
      </c>
      <c r="AN28" s="8">
        <f t="shared" si="61"/>
        <v>1010951066</v>
      </c>
      <c r="AO28" s="8">
        <f t="shared" si="61"/>
        <v>575357653.88374543</v>
      </c>
      <c r="AP28" s="31">
        <f>+AO28/AM28</f>
        <v>0.36270219451728869</v>
      </c>
      <c r="AQ28" s="34">
        <f t="shared" si="16"/>
        <v>-1732963374.6909654</v>
      </c>
      <c r="AR28" s="50" t="e">
        <f>AI28/AG28*100</f>
        <v>#DIV/0!</v>
      </c>
      <c r="AS28" s="35"/>
      <c r="AT28" s="51">
        <f>W28/U28*100</f>
        <v>48.873978102012707</v>
      </c>
      <c r="AU28" s="75">
        <f>+V28/U28*100</f>
        <v>51.126021897987286</v>
      </c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69">+C29-D29</f>
        <v>13777204.154996619</v>
      </c>
      <c r="F29" s="4">
        <v>112349141.15499662</v>
      </c>
      <c r="G29" s="4">
        <v>93757863</v>
      </c>
      <c r="H29" s="4">
        <f t="shared" ref="H29:H97" si="70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71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72">+L29-M29</f>
        <v>15301189.154996619</v>
      </c>
      <c r="O29" s="4">
        <f>+'202401anual'!F50</f>
        <v>112349141.15499662</v>
      </c>
      <c r="P29" s="4">
        <f>+[11]Resultados!$G$41-[11]Resultados!$G$59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+[12]Resultados!$H$41-[12]Resultados!$H$59</f>
        <v>96185407</v>
      </c>
      <c r="T29" s="4">
        <f t="shared" ref="T29:T49" si="73">+R29-S29</f>
        <v>16163734.154996619</v>
      </c>
      <c r="U29" s="4">
        <f>+'202401anual'!I50</f>
        <v>112349141.15499662</v>
      </c>
      <c r="V29" s="4">
        <f>+[13]Resultados!$I$41-[13]Resultados!$I$59</f>
        <v>97184261</v>
      </c>
      <c r="W29" s="4">
        <f t="shared" ref="W29:W35" si="74">+U29-V29</f>
        <v>15164880.154996619</v>
      </c>
      <c r="X29" s="4"/>
      <c r="Y29" s="4"/>
      <c r="Z29" s="4">
        <f t="shared" ref="Z29:Z35" si="75">+X29-Y29</f>
        <v>0</v>
      </c>
      <c r="AA29" s="4"/>
      <c r="AB29" s="4"/>
      <c r="AC29" s="4">
        <f t="shared" ref="AC29:AC35" si="76">+AA29-AB29</f>
        <v>0</v>
      </c>
      <c r="AD29" s="4"/>
      <c r="AE29" s="4"/>
      <c r="AF29" s="4">
        <f t="shared" ref="AF29:AF97" si="77">+AD29-AE29</f>
        <v>0</v>
      </c>
      <c r="AG29" s="4"/>
      <c r="AH29" s="4"/>
      <c r="AI29" s="4">
        <f t="shared" ref="AI29:AI97" si="78">+AG29-AH29</f>
        <v>0</v>
      </c>
      <c r="AJ29" s="4"/>
      <c r="AK29" s="4"/>
      <c r="AL29" s="4">
        <f t="shared" ref="AL29:AL97" si="79">+AJ29-AK29</f>
        <v>0</v>
      </c>
      <c r="AM29" s="4">
        <f t="shared" ref="AM29:AM49" si="80">+C29+F29+I29+L29+O29+R29+U29+X29+AA29+AD29+AG29+AJ29</f>
        <v>786443988.08497632</v>
      </c>
      <c r="AN29" s="4">
        <f t="shared" ref="AN29:AN49" si="81">+D29+G29+J29+M29+P29+S29+V29+Y29+AB29+AE29+AH29+AK29</f>
        <v>674344879.23000002</v>
      </c>
      <c r="AO29" s="4">
        <f t="shared" ref="AO29:AO49" si="82">+AM29-AN29</f>
        <v>112099108.8549763</v>
      </c>
      <c r="AP29" s="43">
        <f>+AO29/AM29*100</f>
        <v>14.253921519311536</v>
      </c>
      <c r="AQ29" s="34">
        <f t="shared" si="16"/>
        <v>-561745705.77498305</v>
      </c>
      <c r="AR29" s="38"/>
      <c r="AS29" s="38"/>
      <c r="AT29" s="2"/>
      <c r="AU29" s="2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69"/>
        <v>0</v>
      </c>
      <c r="F30" s="4">
        <v>0</v>
      </c>
      <c r="G30" s="10">
        <v>0</v>
      </c>
      <c r="H30" s="4">
        <f t="shared" si="70"/>
        <v>0</v>
      </c>
      <c r="I30" s="4">
        <v>0</v>
      </c>
      <c r="J30" s="10">
        <v>0</v>
      </c>
      <c r="K30" s="4">
        <f t="shared" si="71"/>
        <v>0</v>
      </c>
      <c r="L30" s="4">
        <f>+'202401anual'!F51</f>
        <v>0</v>
      </c>
      <c r="M30" s="4">
        <v>0</v>
      </c>
      <c r="N30" s="4">
        <f t="shared" si="72"/>
        <v>0</v>
      </c>
      <c r="O30" s="4">
        <f>+'202401anual'!G51</f>
        <v>0</v>
      </c>
      <c r="P30" s="10">
        <v>0</v>
      </c>
      <c r="Q30" s="4">
        <f t="shared" ref="Q30:Q35" si="83">+O30-P30</f>
        <v>0</v>
      </c>
      <c r="R30" s="4">
        <v>0</v>
      </c>
      <c r="S30" s="4">
        <v>0</v>
      </c>
      <c r="T30" s="4">
        <f t="shared" si="73"/>
        <v>0</v>
      </c>
      <c r="U30" s="4"/>
      <c r="V30" s="4"/>
      <c r="W30" s="4">
        <f t="shared" si="74"/>
        <v>0</v>
      </c>
      <c r="X30" s="4"/>
      <c r="Y30" s="4"/>
      <c r="Z30" s="4">
        <f t="shared" si="75"/>
        <v>0</v>
      </c>
      <c r="AA30" s="4"/>
      <c r="AB30" s="4"/>
      <c r="AC30" s="4">
        <f t="shared" si="76"/>
        <v>0</v>
      </c>
      <c r="AD30" s="4"/>
      <c r="AE30" s="10"/>
      <c r="AF30" s="4">
        <f t="shared" si="77"/>
        <v>0</v>
      </c>
      <c r="AG30" s="4"/>
      <c r="AH30" s="10"/>
      <c r="AI30" s="4">
        <f t="shared" si="78"/>
        <v>0</v>
      </c>
      <c r="AJ30" s="4"/>
      <c r="AK30" s="10"/>
      <c r="AL30" s="4">
        <f t="shared" si="79"/>
        <v>0</v>
      </c>
      <c r="AM30" s="4">
        <f t="shared" si="80"/>
        <v>0</v>
      </c>
      <c r="AN30" s="4">
        <f t="shared" si="81"/>
        <v>0</v>
      </c>
      <c r="AO30" s="4">
        <f t="shared" si="82"/>
        <v>0</v>
      </c>
      <c r="AP30" s="43" t="e">
        <f t="shared" ref="AP30:AP49" si="84">+AO30/AM30*100</f>
        <v>#DIV/0!</v>
      </c>
      <c r="AQ30" s="34">
        <f t="shared" si="16"/>
        <v>0</v>
      </c>
      <c r="AR30" s="38"/>
      <c r="AS30" s="38"/>
      <c r="AT30" s="2"/>
      <c r="AU30" s="2"/>
      <c r="AV30" s="20"/>
      <c r="AW30" s="20"/>
    </row>
    <row r="31" spans="1:54" x14ac:dyDescent="0.25">
      <c r="A31" s="5" t="s">
        <v>16</v>
      </c>
      <c r="B31" s="4">
        <f>+'202401anual'!B52</f>
        <v>23027616</v>
      </c>
      <c r="C31" s="4">
        <v>26027616</v>
      </c>
      <c r="D31" s="4"/>
      <c r="E31" s="4">
        <f t="shared" si="69"/>
        <v>26027616</v>
      </c>
      <c r="F31" s="4">
        <v>0</v>
      </c>
      <c r="G31" s="4">
        <v>0</v>
      </c>
      <c r="H31" s="4">
        <f t="shared" si="70"/>
        <v>0</v>
      </c>
      <c r="I31" s="4">
        <f>+'202401anual'!E52</f>
        <v>0</v>
      </c>
      <c r="J31" s="4">
        <v>0</v>
      </c>
      <c r="K31" s="4">
        <f t="shared" si="71"/>
        <v>0</v>
      </c>
      <c r="L31" s="4">
        <f>+'202401anual'!F52</f>
        <v>0</v>
      </c>
      <c r="M31" s="4"/>
      <c r="N31" s="4">
        <f t="shared" si="72"/>
        <v>0</v>
      </c>
      <c r="O31" s="4">
        <f>+'202401anual'!G52</f>
        <v>0</v>
      </c>
      <c r="P31" s="4"/>
      <c r="Q31" s="4">
        <f t="shared" si="83"/>
        <v>0</v>
      </c>
      <c r="R31" s="4">
        <v>0</v>
      </c>
      <c r="S31" s="4"/>
      <c r="T31" s="4">
        <f t="shared" si="73"/>
        <v>0</v>
      </c>
      <c r="U31" s="4"/>
      <c r="V31" s="4">
        <v>0</v>
      </c>
      <c r="W31" s="4">
        <f t="shared" si="74"/>
        <v>0</v>
      </c>
      <c r="X31" s="4"/>
      <c r="Y31" s="4"/>
      <c r="Z31" s="4">
        <f t="shared" si="75"/>
        <v>0</v>
      </c>
      <c r="AA31" s="4"/>
      <c r="AB31" s="4"/>
      <c r="AC31" s="4">
        <f t="shared" si="76"/>
        <v>0</v>
      </c>
      <c r="AD31" s="4"/>
      <c r="AE31" s="4"/>
      <c r="AF31" s="4">
        <f t="shared" si="77"/>
        <v>0</v>
      </c>
      <c r="AG31" s="4"/>
      <c r="AH31" s="4"/>
      <c r="AI31" s="4">
        <f t="shared" si="78"/>
        <v>0</v>
      </c>
      <c r="AJ31" s="4"/>
      <c r="AK31" s="4"/>
      <c r="AL31" s="4">
        <f t="shared" si="79"/>
        <v>0</v>
      </c>
      <c r="AM31" s="4">
        <f t="shared" si="80"/>
        <v>26027616</v>
      </c>
      <c r="AN31" s="4">
        <f t="shared" si="81"/>
        <v>0</v>
      </c>
      <c r="AO31" s="4">
        <f t="shared" si="82"/>
        <v>26027616</v>
      </c>
      <c r="AP31" s="43">
        <f t="shared" si="84"/>
        <v>100</v>
      </c>
      <c r="AQ31" s="34">
        <f t="shared" si="16"/>
        <v>3000000</v>
      </c>
      <c r="AR31" s="38"/>
      <c r="AS31" s="38"/>
      <c r="AT31" s="2"/>
      <c r="AU31" s="2"/>
    </row>
    <row r="32" spans="1:54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69"/>
        <v>61474815</v>
      </c>
      <c r="F32" s="4">
        <v>59412573</v>
      </c>
      <c r="G32" s="4"/>
      <c r="H32" s="4">
        <f t="shared" si="70"/>
        <v>59412573</v>
      </c>
      <c r="I32" s="4">
        <f>+'202401anual'!E55</f>
        <v>0</v>
      </c>
      <c r="J32" s="4">
        <v>0</v>
      </c>
      <c r="K32" s="4">
        <f t="shared" si="71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83"/>
        <v>-30713520</v>
      </c>
      <c r="R32" s="4">
        <f>+'202401anual'!H55</f>
        <v>63900000</v>
      </c>
      <c r="S32" s="4">
        <v>44750000</v>
      </c>
      <c r="T32" s="4">
        <f t="shared" si="73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74"/>
        <v>3286880</v>
      </c>
      <c r="X32" s="4"/>
      <c r="Y32" s="4"/>
      <c r="Z32" s="4">
        <f t="shared" si="75"/>
        <v>0</v>
      </c>
      <c r="AA32" s="4"/>
      <c r="AB32" s="4"/>
      <c r="AC32" s="4">
        <f t="shared" si="76"/>
        <v>0</v>
      </c>
      <c r="AD32" s="4"/>
      <c r="AE32" s="4"/>
      <c r="AF32" s="4">
        <f t="shared" si="77"/>
        <v>0</v>
      </c>
      <c r="AG32" s="4"/>
      <c r="AH32" s="4"/>
      <c r="AI32" s="4">
        <f t="shared" si="78"/>
        <v>0</v>
      </c>
      <c r="AJ32" s="4"/>
      <c r="AK32" s="4"/>
      <c r="AL32" s="4">
        <f t="shared" si="79"/>
        <v>0</v>
      </c>
      <c r="AM32" s="4">
        <f>+C32+F32+I32+L32+O32+R32+U32+X32+AA32+AD32+AG32+AJ32</f>
        <v>312587388</v>
      </c>
      <c r="AN32" s="4">
        <f t="shared" si="81"/>
        <v>267236640</v>
      </c>
      <c r="AO32" s="4">
        <f t="shared" si="82"/>
        <v>45350748</v>
      </c>
      <c r="AP32" s="43">
        <f t="shared" si="84"/>
        <v>14.50818226869729</v>
      </c>
      <c r="AQ32" s="34">
        <f t="shared" si="16"/>
        <v>-263882612</v>
      </c>
      <c r="AR32" s="38"/>
      <c r="AS32" s="38"/>
      <c r="AT32" s="2"/>
      <c r="AU32" s="2"/>
    </row>
    <row r="33" spans="1:54" x14ac:dyDescent="0.25">
      <c r="A33" s="5" t="s">
        <v>7</v>
      </c>
      <c r="B33" s="4">
        <f>+'202401anual'!B59</f>
        <v>395764999.57200003</v>
      </c>
      <c r="C33" s="4">
        <v>39598775.880999997</v>
      </c>
      <c r="D33" s="4"/>
      <c r="E33" s="4">
        <f t="shared" si="69"/>
        <v>39598775.880999997</v>
      </c>
      <c r="F33" s="4">
        <v>50098775.880999997</v>
      </c>
      <c r="G33" s="4">
        <v>5720000</v>
      </c>
      <c r="H33" s="4">
        <f t="shared" si="70"/>
        <v>44378775.880999997</v>
      </c>
      <c r="I33" s="4">
        <f>+'202401anual'!E59-6000000</f>
        <v>0</v>
      </c>
      <c r="J33" s="4">
        <v>0</v>
      </c>
      <c r="K33" s="4">
        <f t="shared" si="71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83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73"/>
        <v>46464000</v>
      </c>
      <c r="U33" s="4">
        <f>+'202401anual'!I59</f>
        <v>51156500</v>
      </c>
      <c r="V33" s="4">
        <v>0</v>
      </c>
      <c r="W33" s="4">
        <f t="shared" si="74"/>
        <v>51156500</v>
      </c>
      <c r="X33" s="4"/>
      <c r="Y33" s="4"/>
      <c r="Z33" s="4">
        <f t="shared" si="75"/>
        <v>0</v>
      </c>
      <c r="AA33" s="4"/>
      <c r="AB33" s="4"/>
      <c r="AC33" s="4">
        <f t="shared" si="76"/>
        <v>0</v>
      </c>
      <c r="AD33" s="4"/>
      <c r="AE33" s="4"/>
      <c r="AF33" s="4">
        <f t="shared" si="77"/>
        <v>0</v>
      </c>
      <c r="AG33" s="4"/>
      <c r="AH33" s="4"/>
      <c r="AI33" s="4">
        <f t="shared" si="78"/>
        <v>0</v>
      </c>
      <c r="AJ33" s="4"/>
      <c r="AK33" s="4"/>
      <c r="AL33" s="4">
        <f t="shared" si="79"/>
        <v>0</v>
      </c>
      <c r="AM33" s="4">
        <f>+C33+F33+I33+L33+O33+R33+U33+X33+AA33+AD33+AG33+AJ33</f>
        <v>268323551.76199999</v>
      </c>
      <c r="AN33" s="4">
        <f t="shared" si="81"/>
        <v>60019500</v>
      </c>
      <c r="AO33" s="4">
        <f t="shared" si="82"/>
        <v>208304051.76199999</v>
      </c>
      <c r="AP33" s="43">
        <f t="shared" si="84"/>
        <v>77.631669077921046</v>
      </c>
      <c r="AQ33" s="34">
        <f t="shared" si="16"/>
        <v>-127441447.81000003</v>
      </c>
      <c r="AR33" s="38"/>
      <c r="AS33" s="38"/>
      <c r="AT33" s="2"/>
      <c r="AU33" s="2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69"/>
        <v>-1824341</v>
      </c>
      <c r="F34" s="4">
        <v>2115000</v>
      </c>
      <c r="G34" s="4">
        <v>466655</v>
      </c>
      <c r="H34" s="4">
        <f t="shared" si="70"/>
        <v>1648345</v>
      </c>
      <c r="I34" s="4">
        <f>+'202401anual'!E73</f>
        <v>1755000</v>
      </c>
      <c r="J34" s="4">
        <v>3699437</v>
      </c>
      <c r="K34" s="4">
        <f t="shared" si="71"/>
        <v>-1944437</v>
      </c>
      <c r="L34" s="4">
        <f>+'202401anual'!F73</f>
        <v>615000</v>
      </c>
      <c r="M34" s="4">
        <f>518673+10504800</f>
        <v>11023473</v>
      </c>
      <c r="N34" s="4">
        <f t="shared" si="72"/>
        <v>-10408473</v>
      </c>
      <c r="O34" s="4">
        <f>+'202401anual'!G73</f>
        <v>615000</v>
      </c>
      <c r="P34" s="4">
        <f>4128587+431184</f>
        <v>4559771</v>
      </c>
      <c r="Q34" s="4">
        <f t="shared" si="83"/>
        <v>-3944771</v>
      </c>
      <c r="R34" s="4">
        <f>+'202401anual'!H73</f>
        <v>2115000</v>
      </c>
      <c r="S34" s="4">
        <v>358037</v>
      </c>
      <c r="T34" s="4">
        <f t="shared" si="73"/>
        <v>1756963</v>
      </c>
      <c r="U34" s="4">
        <f>+'202401anual'!I73</f>
        <v>1755000</v>
      </c>
      <c r="V34" s="4">
        <v>5903533</v>
      </c>
      <c r="W34" s="4">
        <f t="shared" si="74"/>
        <v>-4148533</v>
      </c>
      <c r="X34" s="4"/>
      <c r="Y34" s="4"/>
      <c r="Z34" s="4">
        <f t="shared" si="75"/>
        <v>0</v>
      </c>
      <c r="AA34" s="4"/>
      <c r="AB34" s="4"/>
      <c r="AC34" s="4">
        <f t="shared" si="76"/>
        <v>0</v>
      </c>
      <c r="AD34" s="4"/>
      <c r="AE34" s="4"/>
      <c r="AF34" s="4">
        <f t="shared" si="77"/>
        <v>0</v>
      </c>
      <c r="AG34" s="4"/>
      <c r="AH34" s="4"/>
      <c r="AI34" s="4">
        <f t="shared" si="78"/>
        <v>0</v>
      </c>
      <c r="AJ34" s="4"/>
      <c r="AK34" s="4"/>
      <c r="AL34" s="4">
        <f t="shared" si="79"/>
        <v>0</v>
      </c>
      <c r="AM34" s="4">
        <f t="shared" si="80"/>
        <v>9585000</v>
      </c>
      <c r="AN34" s="4">
        <f t="shared" si="81"/>
        <v>28450247</v>
      </c>
      <c r="AO34" s="4">
        <f t="shared" si="82"/>
        <v>-18865247</v>
      </c>
      <c r="AP34" s="43">
        <f t="shared" si="84"/>
        <v>-196.82052164840897</v>
      </c>
      <c r="AQ34" s="34">
        <f t="shared" si="16"/>
        <v>-90435000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1"/>
        <v>0</v>
      </c>
      <c r="L35" s="4">
        <f>+'202401anual'!F80</f>
        <v>0</v>
      </c>
      <c r="M35" s="4">
        <v>0</v>
      </c>
      <c r="N35" s="4">
        <f t="shared" si="72"/>
        <v>0</v>
      </c>
      <c r="O35" s="4">
        <f>+'202401anual'!G80</f>
        <v>0</v>
      </c>
      <c r="P35" s="4">
        <v>0</v>
      </c>
      <c r="Q35" s="4">
        <f t="shared" si="83"/>
        <v>0</v>
      </c>
      <c r="R35" s="4">
        <f>+'202401anual'!H80</f>
        <v>0</v>
      </c>
      <c r="S35" s="4">
        <v>0</v>
      </c>
      <c r="T35" s="4">
        <f t="shared" si="73"/>
        <v>0</v>
      </c>
      <c r="U35" s="4">
        <f>+'202401anual'!I80</f>
        <v>0</v>
      </c>
      <c r="V35" s="4">
        <v>0</v>
      </c>
      <c r="W35" s="4">
        <f t="shared" si="74"/>
        <v>0</v>
      </c>
      <c r="X35" s="4">
        <f>+'202401anual'!J80</f>
        <v>0</v>
      </c>
      <c r="Y35" s="4">
        <v>0</v>
      </c>
      <c r="Z35" s="4">
        <f t="shared" si="75"/>
        <v>0</v>
      </c>
      <c r="AA35" s="4">
        <f>+'202401anual'!K80</f>
        <v>0</v>
      </c>
      <c r="AB35" s="4"/>
      <c r="AC35" s="4">
        <f t="shared" si="76"/>
        <v>0</v>
      </c>
      <c r="AD35" s="4"/>
      <c r="AE35" s="4"/>
      <c r="AF35" s="4">
        <f t="shared" si="77"/>
        <v>0</v>
      </c>
      <c r="AG35" s="4"/>
      <c r="AH35" s="4"/>
      <c r="AI35" s="4">
        <f t="shared" si="78"/>
        <v>0</v>
      </c>
      <c r="AJ35" s="4">
        <f>+'202401anual'!N80</f>
        <v>0</v>
      </c>
      <c r="AK35" s="4"/>
      <c r="AL35" s="4">
        <f t="shared" si="79"/>
        <v>0</v>
      </c>
      <c r="AM35" s="4">
        <f t="shared" si="80"/>
        <v>0</v>
      </c>
      <c r="AN35" s="4">
        <f t="shared" si="81"/>
        <v>0</v>
      </c>
      <c r="AO35" s="4">
        <f t="shared" si="82"/>
        <v>0</v>
      </c>
      <c r="AP35" s="43" t="e">
        <f t="shared" si="84"/>
        <v>#DIV/0!</v>
      </c>
      <c r="AQ35" s="34">
        <f t="shared" si="16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5">SUM(B29:B35)</f>
        <v>2443472309.4319592</v>
      </c>
      <c r="C36" s="8">
        <f t="shared" si="85"/>
        <v>240065348.03599662</v>
      </c>
      <c r="D36" s="8">
        <f t="shared" si="85"/>
        <v>101011278</v>
      </c>
      <c r="E36" s="8">
        <f t="shared" si="85"/>
        <v>139054070.03599662</v>
      </c>
      <c r="F36" s="8">
        <f t="shared" si="85"/>
        <v>223975490.03599662</v>
      </c>
      <c r="G36" s="8">
        <f t="shared" si="85"/>
        <v>99944518</v>
      </c>
      <c r="H36" s="8">
        <f t="shared" si="85"/>
        <v>124030972.03599662</v>
      </c>
      <c r="I36" s="7">
        <f t="shared" si="85"/>
        <v>114104141.15499662</v>
      </c>
      <c r="J36" s="8">
        <f t="shared" si="85"/>
        <v>103295533.23</v>
      </c>
      <c r="K36" s="8">
        <f t="shared" si="85"/>
        <v>10808607.924996614</v>
      </c>
      <c r="L36" s="8">
        <f t="shared" si="85"/>
        <v>128120641.15499662</v>
      </c>
      <c r="M36" s="8">
        <f t="shared" si="85"/>
        <v>198303925</v>
      </c>
      <c r="N36" s="8">
        <f t="shared" si="85"/>
        <v>-70183283.845003381</v>
      </c>
      <c r="O36" s="8">
        <f t="shared" si="85"/>
        <v>226720641.15499663</v>
      </c>
      <c r="P36" s="8">
        <f t="shared" si="85"/>
        <v>206509154</v>
      </c>
      <c r="Q36" s="8">
        <f t="shared" si="85"/>
        <v>20211487.154996634</v>
      </c>
      <c r="R36" s="8">
        <f t="shared" si="85"/>
        <v>240820641.15499663</v>
      </c>
      <c r="S36" s="8">
        <f t="shared" si="85"/>
        <v>157285944</v>
      </c>
      <c r="T36" s="8">
        <f>SUM(T29:T35)</f>
        <v>83534697.154996619</v>
      </c>
      <c r="U36" s="8">
        <f t="shared" si="85"/>
        <v>229160641.15499663</v>
      </c>
      <c r="V36" s="8">
        <f t="shared" si="85"/>
        <v>163700914</v>
      </c>
      <c r="W36" s="8">
        <f t="shared" si="85"/>
        <v>65459727.154996619</v>
      </c>
      <c r="X36" s="8">
        <f t="shared" si="85"/>
        <v>0</v>
      </c>
      <c r="Y36" s="8">
        <f t="shared" si="85"/>
        <v>0</v>
      </c>
      <c r="Z36" s="8">
        <f t="shared" si="85"/>
        <v>0</v>
      </c>
      <c r="AA36" s="8">
        <f t="shared" si="85"/>
        <v>0</v>
      </c>
      <c r="AB36" s="8">
        <f t="shared" si="85"/>
        <v>0</v>
      </c>
      <c r="AC36" s="8">
        <f t="shared" si="85"/>
        <v>0</v>
      </c>
      <c r="AD36" s="8">
        <f t="shared" si="85"/>
        <v>0</v>
      </c>
      <c r="AE36" s="8">
        <f t="shared" si="85"/>
        <v>0</v>
      </c>
      <c r="AF36" s="8">
        <f t="shared" si="85"/>
        <v>0</v>
      </c>
      <c r="AG36" s="8">
        <f t="shared" si="85"/>
        <v>0</v>
      </c>
      <c r="AH36" s="8">
        <f t="shared" si="85"/>
        <v>0</v>
      </c>
      <c r="AI36" s="8">
        <f t="shared" si="85"/>
        <v>0</v>
      </c>
      <c r="AJ36" s="8">
        <f t="shared" si="85"/>
        <v>0</v>
      </c>
      <c r="AK36" s="8">
        <f t="shared" si="85"/>
        <v>0</v>
      </c>
      <c r="AL36" s="8">
        <f t="shared" si="85"/>
        <v>0</v>
      </c>
      <c r="AM36" s="8">
        <f t="shared" si="85"/>
        <v>1402967543.8469763</v>
      </c>
      <c r="AN36" s="8">
        <f t="shared" si="85"/>
        <v>1030051266.23</v>
      </c>
      <c r="AO36" s="8">
        <f t="shared" si="85"/>
        <v>372916277.61697626</v>
      </c>
      <c r="AP36" s="31">
        <f>+AO36/AM36</f>
        <v>0.26580534899220076</v>
      </c>
      <c r="AQ36" s="34">
        <f t="shared" si="16"/>
        <v>-1040504765.5849829</v>
      </c>
      <c r="AR36" s="50" t="e">
        <f>AI36/AG36*100</f>
        <v>#DIV/0!</v>
      </c>
      <c r="AS36" s="45"/>
      <c r="AT36" s="51">
        <f>W36/U36*100</f>
        <v>28.56499564020762</v>
      </c>
      <c r="AU36" s="2"/>
      <c r="BA36" s="83"/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69"/>
        <v>3365023.2634449787</v>
      </c>
      <c r="F37" s="4">
        <v>21673904.556444976</v>
      </c>
      <c r="G37" s="4">
        <v>17790867</v>
      </c>
      <c r="H37" s="4">
        <f t="shared" si="70"/>
        <v>3883037.5564449765</v>
      </c>
      <c r="I37" s="4">
        <f>+'202401anual'!E83</f>
        <v>21673904.556444976</v>
      </c>
      <c r="J37" s="4">
        <v>16912270</v>
      </c>
      <c r="K37" s="4">
        <f t="shared" si="71"/>
        <v>4761634.5564449765</v>
      </c>
      <c r="L37" s="89">
        <f>+'202401anual'!F83</f>
        <v>21673904.556444976</v>
      </c>
      <c r="M37" s="89">
        <v>17883642.150000002</v>
      </c>
      <c r="N37" s="4">
        <f t="shared" ref="N37:N49" si="86">+L37-M37</f>
        <v>3790262.4064449742</v>
      </c>
      <c r="O37" s="89">
        <f>+'202401anual'!G83</f>
        <v>21673904.556444976</v>
      </c>
      <c r="P37" s="89">
        <v>25169550</v>
      </c>
      <c r="Q37" s="89">
        <f t="shared" ref="Q37:Q49" si="87">+O37-P37</f>
        <v>-3495645.4435550235</v>
      </c>
      <c r="R37" s="89">
        <f>+'202401anual'!H83</f>
        <v>21673904.556444976</v>
      </c>
      <c r="S37" s="4">
        <f>40179185-20889158</f>
        <v>19290027</v>
      </c>
      <c r="T37" s="4">
        <f t="shared" si="73"/>
        <v>2383877.5564449765</v>
      </c>
      <c r="U37" s="89">
        <f>+'202401anual'!I83</f>
        <v>21673904.556444976</v>
      </c>
      <c r="V37" s="49">
        <v>20874611.699999999</v>
      </c>
      <c r="W37" s="4">
        <f t="shared" ref="W37:W49" si="88">+U37-V37</f>
        <v>799292.85644497722</v>
      </c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0"/>
        <v>151717331.89511484</v>
      </c>
      <c r="AN37" s="4">
        <f t="shared" si="81"/>
        <v>136229849.14300001</v>
      </c>
      <c r="AO37" s="4">
        <f t="shared" si="82"/>
        <v>15487482.752114832</v>
      </c>
      <c r="AP37" s="43">
        <f t="shared" si="84"/>
        <v>10.208117001966283</v>
      </c>
      <c r="AQ37" s="34"/>
      <c r="AR37" s="50"/>
      <c r="AS37" s="45"/>
      <c r="AT37" s="51"/>
      <c r="AU37" s="2"/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73400000</v>
      </c>
      <c r="C38" s="4">
        <v>0</v>
      </c>
      <c r="D38" s="4">
        <v>0</v>
      </c>
      <c r="E38" s="4">
        <f t="shared" si="69"/>
        <v>0</v>
      </c>
      <c r="F38" s="4">
        <v>0</v>
      </c>
      <c r="G38" s="4">
        <v>23430000</v>
      </c>
      <c r="H38" s="4">
        <f t="shared" si="70"/>
        <v>-23430000</v>
      </c>
      <c r="I38" s="49">
        <f>+'202401anual'!E84</f>
        <v>0</v>
      </c>
      <c r="J38" s="4">
        <v>0</v>
      </c>
      <c r="K38" s="4">
        <f t="shared" si="71"/>
        <v>0</v>
      </c>
      <c r="L38" s="89">
        <f>+'202401anual'!F84</f>
        <v>0</v>
      </c>
      <c r="M38" s="89"/>
      <c r="N38" s="4">
        <f t="shared" si="86"/>
        <v>0</v>
      </c>
      <c r="O38" s="89">
        <f>+'202401anual'!G84</f>
        <v>0</v>
      </c>
      <c r="P38" s="89"/>
      <c r="Q38" s="89">
        <f t="shared" si="87"/>
        <v>0</v>
      </c>
      <c r="R38" s="89"/>
      <c r="S38" s="4">
        <v>0</v>
      </c>
      <c r="T38" s="4">
        <f t="shared" si="73"/>
        <v>0</v>
      </c>
      <c r="U38" s="89">
        <v>0</v>
      </c>
      <c r="V38" s="49">
        <v>0</v>
      </c>
      <c r="W38" s="4">
        <f t="shared" si="88"/>
        <v>0</v>
      </c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0"/>
        <v>0</v>
      </c>
      <c r="AN38" s="4">
        <f t="shared" si="81"/>
        <v>23430000</v>
      </c>
      <c r="AO38" s="4">
        <f t="shared" si="82"/>
        <v>-23430000</v>
      </c>
      <c r="AP38" s="43" t="e">
        <f t="shared" si="84"/>
        <v>#DIV/0!</v>
      </c>
      <c r="AQ38" s="34"/>
      <c r="AR38" s="50"/>
      <c r="AS38" s="45"/>
      <c r="AT38" s="51"/>
      <c r="AU38" s="2"/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69"/>
        <v>900000</v>
      </c>
      <c r="F39" s="4">
        <v>900000</v>
      </c>
      <c r="G39" s="4">
        <v>0</v>
      </c>
      <c r="H39" s="4">
        <f t="shared" si="70"/>
        <v>900000</v>
      </c>
      <c r="I39" s="49">
        <f>+'202401anual'!E85</f>
        <v>0</v>
      </c>
      <c r="J39" s="4">
        <v>0</v>
      </c>
      <c r="K39" s="4">
        <f t="shared" si="71"/>
        <v>0</v>
      </c>
      <c r="L39" s="89">
        <f>+'202401anual'!F85</f>
        <v>0</v>
      </c>
      <c r="M39" s="89"/>
      <c r="N39" s="4">
        <f t="shared" si="86"/>
        <v>0</v>
      </c>
      <c r="O39" s="89">
        <f>+'202401anual'!G85</f>
        <v>0</v>
      </c>
      <c r="P39" s="89"/>
      <c r="Q39" s="89">
        <f t="shared" si="87"/>
        <v>0</v>
      </c>
      <c r="R39" s="89"/>
      <c r="S39" s="4">
        <v>0</v>
      </c>
      <c r="T39" s="4">
        <f t="shared" si="73"/>
        <v>0</v>
      </c>
      <c r="U39" s="89">
        <v>0</v>
      </c>
      <c r="V39" s="49">
        <v>0</v>
      </c>
      <c r="W39" s="4">
        <f t="shared" si="88"/>
        <v>0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0"/>
        <v>1800000</v>
      </c>
      <c r="AN39" s="4">
        <f t="shared" si="81"/>
        <v>0</v>
      </c>
      <c r="AO39" s="4">
        <f t="shared" si="82"/>
        <v>1800000</v>
      </c>
      <c r="AP39" s="43">
        <f t="shared" si="84"/>
        <v>100</v>
      </c>
      <c r="AQ39" s="34"/>
      <c r="AR39" s="50"/>
      <c r="AS39" s="45"/>
      <c r="AT39" s="2"/>
      <c r="AU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69"/>
        <v>0</v>
      </c>
      <c r="F40" s="4">
        <v>0</v>
      </c>
      <c r="G40" s="4">
        <v>0</v>
      </c>
      <c r="H40" s="4">
        <f t="shared" si="70"/>
        <v>0</v>
      </c>
      <c r="I40" s="49">
        <f>+'202401anual'!E93</f>
        <v>0</v>
      </c>
      <c r="J40" s="4">
        <v>0</v>
      </c>
      <c r="K40" s="4">
        <f t="shared" si="71"/>
        <v>0</v>
      </c>
      <c r="L40" s="89">
        <f>+'202401anual'!F93</f>
        <v>3500000</v>
      </c>
      <c r="M40" s="89">
        <v>8345800</v>
      </c>
      <c r="N40" s="4">
        <f t="shared" si="86"/>
        <v>-4845800</v>
      </c>
      <c r="O40" s="89">
        <f>+'202401anual'!G93</f>
        <v>3500000</v>
      </c>
      <c r="P40" s="89"/>
      <c r="Q40" s="89">
        <f t="shared" si="87"/>
        <v>3500000</v>
      </c>
      <c r="R40" s="89">
        <f>+'202401anual'!H93</f>
        <v>3500000</v>
      </c>
      <c r="S40" s="4">
        <v>0</v>
      </c>
      <c r="T40" s="4">
        <f t="shared" si="73"/>
        <v>3500000</v>
      </c>
      <c r="U40" s="89">
        <f>+'202401anual'!I93</f>
        <v>3500000</v>
      </c>
      <c r="V40" s="49">
        <v>0</v>
      </c>
      <c r="W40" s="4">
        <f t="shared" si="88"/>
        <v>3500000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0"/>
        <v>14000000</v>
      </c>
      <c r="AN40" s="4">
        <f t="shared" si="81"/>
        <v>8345800</v>
      </c>
      <c r="AO40" s="4">
        <f t="shared" si="82"/>
        <v>5654200</v>
      </c>
      <c r="AP40" s="43">
        <f t="shared" si="84"/>
        <v>40.387142857142855</v>
      </c>
      <c r="AQ40" s="34"/>
      <c r="AR40" s="50"/>
      <c r="AS40" s="45"/>
      <c r="AT40" s="2"/>
      <c r="AU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69"/>
        <v>0</v>
      </c>
      <c r="F41" s="4">
        <v>0</v>
      </c>
      <c r="G41" s="4">
        <v>0</v>
      </c>
      <c r="H41" s="4">
        <f t="shared" si="70"/>
        <v>0</v>
      </c>
      <c r="I41" s="49">
        <f>+'202401anual'!E87</f>
        <v>0</v>
      </c>
      <c r="J41" s="4">
        <v>0</v>
      </c>
      <c r="K41" s="4">
        <f t="shared" si="71"/>
        <v>0</v>
      </c>
      <c r="L41" s="89">
        <f>+'202401anual'!F87</f>
        <v>0</v>
      </c>
      <c r="M41" s="89"/>
      <c r="N41" s="4">
        <f t="shared" si="86"/>
        <v>0</v>
      </c>
      <c r="O41" s="89">
        <f>+'202401anual'!G87</f>
        <v>0</v>
      </c>
      <c r="P41" s="89"/>
      <c r="Q41" s="89">
        <f t="shared" si="87"/>
        <v>0</v>
      </c>
      <c r="R41" s="89">
        <f>+'202401anual'!H87</f>
        <v>369000</v>
      </c>
      <c r="S41" s="4">
        <v>409980</v>
      </c>
      <c r="T41" s="4">
        <f t="shared" si="73"/>
        <v>-40980</v>
      </c>
      <c r="U41" s="89">
        <v>0</v>
      </c>
      <c r="V41" s="4">
        <v>0</v>
      </c>
      <c r="W41" s="4">
        <f t="shared" si="88"/>
        <v>0</v>
      </c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0"/>
        <v>369000</v>
      </c>
      <c r="AN41" s="4">
        <f t="shared" si="81"/>
        <v>409980</v>
      </c>
      <c r="AO41" s="4">
        <f t="shared" si="82"/>
        <v>-40980</v>
      </c>
      <c r="AP41" s="43">
        <f t="shared" si="84"/>
        <v>-11.105691056910569</v>
      </c>
      <c r="AQ41" s="34"/>
      <c r="AR41" s="50"/>
      <c r="AS41" s="45"/>
      <c r="AT41" s="2"/>
      <c r="AU41" s="2"/>
      <c r="AW41" s="2"/>
      <c r="BB41" s="24"/>
    </row>
    <row r="42" spans="1:54" hidden="1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69"/>
        <v>0</v>
      </c>
      <c r="F42" s="4">
        <v>0</v>
      </c>
      <c r="G42" s="4">
        <v>0</v>
      </c>
      <c r="H42" s="4">
        <f t="shared" si="70"/>
        <v>0</v>
      </c>
      <c r="I42" s="49">
        <f>+'202401anual'!E99</f>
        <v>0</v>
      </c>
      <c r="J42" s="4">
        <v>0</v>
      </c>
      <c r="K42" s="4">
        <f t="shared" si="71"/>
        <v>0</v>
      </c>
      <c r="L42" s="89">
        <f>+'202401anual'!F99</f>
        <v>0</v>
      </c>
      <c r="M42" s="89"/>
      <c r="N42" s="4">
        <f t="shared" si="86"/>
        <v>0</v>
      </c>
      <c r="O42" s="89">
        <f>+'202401anual'!G99</f>
        <v>0</v>
      </c>
      <c r="P42" s="89"/>
      <c r="Q42" s="89">
        <f t="shared" si="87"/>
        <v>0</v>
      </c>
      <c r="R42" s="89"/>
      <c r="S42" s="4">
        <v>0</v>
      </c>
      <c r="T42" s="4">
        <f t="shared" si="73"/>
        <v>0</v>
      </c>
      <c r="U42" s="89"/>
      <c r="V42" s="4"/>
      <c r="W42" s="4">
        <f t="shared" si="88"/>
        <v>0</v>
      </c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0"/>
        <v>0</v>
      </c>
      <c r="AN42" s="4">
        <f t="shared" si="81"/>
        <v>0</v>
      </c>
      <c r="AO42" s="4">
        <f t="shared" si="82"/>
        <v>0</v>
      </c>
      <c r="AP42" s="43" t="e">
        <f t="shared" si="84"/>
        <v>#DIV/0!</v>
      </c>
      <c r="AQ42" s="34"/>
      <c r="AR42" s="50"/>
      <c r="AS42" s="45"/>
      <c r="AT42" s="2"/>
      <c r="AU42" s="2"/>
      <c r="AW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69"/>
        <v>0</v>
      </c>
      <c r="F43" s="4">
        <v>0</v>
      </c>
      <c r="G43" s="4">
        <v>0</v>
      </c>
      <c r="H43" s="4">
        <f t="shared" si="70"/>
        <v>0</v>
      </c>
      <c r="I43" s="49">
        <f>+'202401anual'!E101</f>
        <v>0</v>
      </c>
      <c r="J43" s="4">
        <v>0</v>
      </c>
      <c r="K43" s="4">
        <f t="shared" si="71"/>
        <v>0</v>
      </c>
      <c r="L43" s="89">
        <f>+'202401anual'!F101</f>
        <v>0</v>
      </c>
      <c r="M43" s="89"/>
      <c r="N43" s="4">
        <f t="shared" si="86"/>
        <v>0</v>
      </c>
      <c r="O43" s="89">
        <f>+'202401anual'!G101</f>
        <v>0</v>
      </c>
      <c r="P43" s="89"/>
      <c r="Q43" s="89">
        <f t="shared" si="87"/>
        <v>0</v>
      </c>
      <c r="R43" s="89">
        <f>+'202401anual'!H101</f>
        <v>10000000</v>
      </c>
      <c r="S43" s="4">
        <v>0</v>
      </c>
      <c r="T43" s="4">
        <f t="shared" si="73"/>
        <v>10000000</v>
      </c>
      <c r="U43" s="89">
        <v>0</v>
      </c>
      <c r="V43" s="4">
        <v>0</v>
      </c>
      <c r="W43" s="4">
        <f t="shared" si="88"/>
        <v>0</v>
      </c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0"/>
        <v>10000000</v>
      </c>
      <c r="AN43" s="4">
        <f t="shared" si="81"/>
        <v>0</v>
      </c>
      <c r="AO43" s="4">
        <f t="shared" si="82"/>
        <v>10000000</v>
      </c>
      <c r="AP43" s="43">
        <f t="shared" si="84"/>
        <v>100</v>
      </c>
      <c r="AQ43" s="34"/>
      <c r="AR43" s="50"/>
      <c r="AS43" s="45"/>
      <c r="AT43" s="2"/>
      <c r="AU43" s="2"/>
      <c r="AW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69"/>
        <v>6668493.166666667</v>
      </c>
      <c r="F44" s="4">
        <v>8208393.166666667</v>
      </c>
      <c r="G44" s="4">
        <v>5383100</v>
      </c>
      <c r="H44" s="4">
        <f t="shared" si="70"/>
        <v>2825293.166666667</v>
      </c>
      <c r="I44" s="4">
        <f>+'202401anual'!E104</f>
        <v>8208393.166666667</v>
      </c>
      <c r="J44" s="4">
        <v>10608520</v>
      </c>
      <c r="K44" s="4">
        <f t="shared" si="71"/>
        <v>-2400126.833333333</v>
      </c>
      <c r="L44" s="89">
        <v>5867900</v>
      </c>
      <c r="M44" s="89">
        <f>2000000+5382200+1593000</f>
        <v>8975200</v>
      </c>
      <c r="N44" s="4">
        <f t="shared" si="86"/>
        <v>-3107300</v>
      </c>
      <c r="O44" s="89">
        <f>+'202401anual'!G104</f>
        <v>5867900</v>
      </c>
      <c r="P44" s="89">
        <f>1593000+3789200+2000000</f>
        <v>7382200</v>
      </c>
      <c r="Q44" s="89">
        <f t="shared" si="87"/>
        <v>-1514300</v>
      </c>
      <c r="R44" s="89">
        <f>+'202401anual'!H104</f>
        <v>5867900</v>
      </c>
      <c r="S44" s="4">
        <f>2000000+5382200</f>
        <v>7382200</v>
      </c>
      <c r="T44" s="4">
        <f t="shared" si="73"/>
        <v>-1514300</v>
      </c>
      <c r="U44" s="89">
        <f>+'202401anual'!I104+10100000</f>
        <v>32699618</v>
      </c>
      <c r="V44" s="4">
        <f>2000000+1593000</f>
        <v>3593000</v>
      </c>
      <c r="W44" s="4">
        <f t="shared" si="88"/>
        <v>29106618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0"/>
        <v>74928497.5</v>
      </c>
      <c r="AN44" s="4">
        <f t="shared" si="81"/>
        <v>44864120</v>
      </c>
      <c r="AO44" s="4">
        <f t="shared" si="82"/>
        <v>30064377.5</v>
      </c>
      <c r="AP44" s="43">
        <f t="shared" si="84"/>
        <v>40.124089636256215</v>
      </c>
      <c r="AQ44" s="34"/>
      <c r="AR44" s="50"/>
      <c r="AS44" s="45"/>
      <c r="AT44" s="2"/>
      <c r="AU44" s="2"/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69"/>
        <v>1500000</v>
      </c>
      <c r="F45" s="4">
        <v>1500000</v>
      </c>
      <c r="G45" s="4">
        <v>0</v>
      </c>
      <c r="H45" s="4">
        <f t="shared" si="70"/>
        <v>1500000</v>
      </c>
      <c r="I45" s="4">
        <f>+'202401anual'!E114</f>
        <v>1200000</v>
      </c>
      <c r="J45" s="4">
        <v>0</v>
      </c>
      <c r="K45" s="4">
        <f t="shared" si="71"/>
        <v>1200000</v>
      </c>
      <c r="L45" s="89">
        <v>1250000</v>
      </c>
      <c r="M45" s="89">
        <v>1019830</v>
      </c>
      <c r="N45" s="4">
        <f t="shared" si="86"/>
        <v>230170</v>
      </c>
      <c r="O45" s="89">
        <f>+'202401anual'!H114</f>
        <v>1250000</v>
      </c>
      <c r="P45" s="89">
        <v>57400</v>
      </c>
      <c r="Q45" s="89">
        <f t="shared" si="87"/>
        <v>1192600</v>
      </c>
      <c r="R45" s="89">
        <f>+'202401anual'!H114</f>
        <v>1250000</v>
      </c>
      <c r="S45" s="4">
        <v>0</v>
      </c>
      <c r="T45" s="4">
        <f t="shared" si="73"/>
        <v>1250000</v>
      </c>
      <c r="U45" s="89">
        <f>+'202401anual'!I114</f>
        <v>1250000</v>
      </c>
      <c r="V45" s="4"/>
      <c r="W45" s="4">
        <f t="shared" si="88"/>
        <v>1250000</v>
      </c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0"/>
        <v>9200000</v>
      </c>
      <c r="AN45" s="4">
        <f t="shared" si="81"/>
        <v>1077230</v>
      </c>
      <c r="AO45" s="4">
        <f t="shared" si="82"/>
        <v>8122770</v>
      </c>
      <c r="AP45" s="43">
        <f t="shared" si="84"/>
        <v>88.290978260869565</v>
      </c>
      <c r="AQ45" s="34"/>
      <c r="AR45" s="50"/>
      <c r="AS45" s="45"/>
      <c r="AT45" s="2"/>
      <c r="AU45" s="2"/>
      <c r="AW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69"/>
        <v>-5940000</v>
      </c>
      <c r="F46" s="4">
        <v>6000000</v>
      </c>
      <c r="G46" s="4">
        <v>9380000</v>
      </c>
      <c r="H46" s="4">
        <f t="shared" si="70"/>
        <v>-3380000</v>
      </c>
      <c r="I46" s="4">
        <f>+'202401anual'!E120-7752000</f>
        <v>0</v>
      </c>
      <c r="J46" s="4">
        <v>0</v>
      </c>
      <c r="K46" s="4">
        <f t="shared" si="71"/>
        <v>0</v>
      </c>
      <c r="L46" s="89">
        <v>6820000</v>
      </c>
      <c r="M46" s="89">
        <v>13420000</v>
      </c>
      <c r="N46" s="4">
        <f t="shared" si="86"/>
        <v>-6600000</v>
      </c>
      <c r="O46" s="89">
        <f>+'202401anual'!G120</f>
        <v>6820000</v>
      </c>
      <c r="P46" s="89">
        <v>6820000</v>
      </c>
      <c r="Q46" s="89">
        <f t="shared" si="87"/>
        <v>0</v>
      </c>
      <c r="R46" s="89">
        <f>+'202401anual'!H120</f>
        <v>6820000</v>
      </c>
      <c r="S46" s="4">
        <v>0</v>
      </c>
      <c r="T46" s="4">
        <f t="shared" si="73"/>
        <v>6820000</v>
      </c>
      <c r="U46" s="89">
        <f>+'202401anual'!I120</f>
        <v>6820000</v>
      </c>
      <c r="V46" s="4">
        <v>13400</v>
      </c>
      <c r="W46" s="4">
        <f t="shared" si="88"/>
        <v>6806600</v>
      </c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0"/>
        <v>39280000</v>
      </c>
      <c r="AN46" s="4">
        <f t="shared" si="81"/>
        <v>41573400</v>
      </c>
      <c r="AO46" s="4">
        <f t="shared" si="82"/>
        <v>-2293400</v>
      </c>
      <c r="AP46" s="43">
        <f t="shared" si="84"/>
        <v>-5.8385947046843176</v>
      </c>
      <c r="AQ46" s="34"/>
      <c r="AR46" s="50"/>
      <c r="AS46" s="45"/>
      <c r="AT46" s="2"/>
      <c r="AU46" s="2"/>
      <c r="BB46" s="24"/>
    </row>
    <row r="47" spans="1:54" hidden="1" x14ac:dyDescent="0.25">
      <c r="A47" s="21" t="str">
        <f>+'202401anual'!A132</f>
        <v>Asesoria y argue sui</v>
      </c>
      <c r="B47" s="4">
        <f>+'202401anual'!B132</f>
        <v>15600000</v>
      </c>
      <c r="C47" s="4">
        <v>0</v>
      </c>
      <c r="D47" s="49">
        <v>0</v>
      </c>
      <c r="E47" s="4">
        <f t="shared" si="69"/>
        <v>0</v>
      </c>
      <c r="F47" s="4">
        <v>0</v>
      </c>
      <c r="G47" s="4">
        <v>0</v>
      </c>
      <c r="H47" s="4">
        <f t="shared" si="70"/>
        <v>0</v>
      </c>
      <c r="I47" s="4">
        <f>+'202401anual'!E132</f>
        <v>0</v>
      </c>
      <c r="J47" s="4">
        <v>0</v>
      </c>
      <c r="K47" s="4">
        <f t="shared" si="71"/>
        <v>0</v>
      </c>
      <c r="L47" s="89">
        <f>+'202401anual'!F132</f>
        <v>0</v>
      </c>
      <c r="M47" s="89"/>
      <c r="N47" s="4">
        <f t="shared" si="86"/>
        <v>0</v>
      </c>
      <c r="O47" s="89"/>
      <c r="P47" s="89"/>
      <c r="Q47" s="89">
        <f t="shared" si="87"/>
        <v>0</v>
      </c>
      <c r="R47" s="89"/>
      <c r="S47" s="4">
        <v>0</v>
      </c>
      <c r="T47" s="4">
        <f t="shared" si="73"/>
        <v>0</v>
      </c>
      <c r="U47" s="89"/>
      <c r="V47" s="4"/>
      <c r="W47" s="4">
        <f t="shared" si="88"/>
        <v>0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0"/>
        <v>0</v>
      </c>
      <c r="AN47" s="4">
        <f t="shared" si="81"/>
        <v>0</v>
      </c>
      <c r="AO47" s="4">
        <f t="shared" si="82"/>
        <v>0</v>
      </c>
      <c r="AP47" s="43" t="e">
        <f t="shared" si="84"/>
        <v>#DIV/0!</v>
      </c>
      <c r="AQ47" s="34"/>
      <c r="AR47" s="50"/>
      <c r="AS47" s="45"/>
      <c r="AT47" s="2"/>
      <c r="AU47" s="2"/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69"/>
        <v>15930000</v>
      </c>
      <c r="F48" s="4">
        <v>15930000</v>
      </c>
      <c r="G48" s="4">
        <v>0</v>
      </c>
      <c r="H48" s="4">
        <f t="shared" si="70"/>
        <v>15930000</v>
      </c>
      <c r="I48" s="49">
        <f>+'202401anual'!E118</f>
        <v>0</v>
      </c>
      <c r="J48" s="4">
        <v>0</v>
      </c>
      <c r="K48" s="4">
        <f t="shared" si="71"/>
        <v>0</v>
      </c>
      <c r="L48" s="89">
        <v>15930000</v>
      </c>
      <c r="M48" s="89">
        <v>8200000</v>
      </c>
      <c r="N48" s="4">
        <f t="shared" si="86"/>
        <v>7730000</v>
      </c>
      <c r="O48" s="89">
        <v>15930000</v>
      </c>
      <c r="P48" s="89">
        <v>14200000</v>
      </c>
      <c r="Q48" s="89">
        <f t="shared" si="87"/>
        <v>1730000</v>
      </c>
      <c r="R48" s="89">
        <f>+'202401anual'!H118</f>
        <v>15930000</v>
      </c>
      <c r="S48" s="4">
        <f>463600+25708000+704600</f>
        <v>26876200</v>
      </c>
      <c r="T48" s="4">
        <f t="shared" si="73"/>
        <v>-10946200</v>
      </c>
      <c r="U48" s="89">
        <f>+'202401anual'!I118</f>
        <v>15930000</v>
      </c>
      <c r="V48" s="4">
        <v>5000000</v>
      </c>
      <c r="W48" s="4">
        <f t="shared" si="88"/>
        <v>10930000</v>
      </c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0"/>
        <v>95580000</v>
      </c>
      <c r="AN48" s="4">
        <f t="shared" si="81"/>
        <v>54276200</v>
      </c>
      <c r="AO48" s="4">
        <f t="shared" si="82"/>
        <v>41303800</v>
      </c>
      <c r="AP48" s="43">
        <f t="shared" si="84"/>
        <v>43.213852270349449</v>
      </c>
      <c r="AQ48" s="34"/>
      <c r="AR48" s="50"/>
      <c r="AS48" s="45"/>
      <c r="AT48" s="2"/>
      <c r="AU48" s="2"/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69"/>
        <v>3500000</v>
      </c>
      <c r="F49" s="4">
        <v>3500000</v>
      </c>
      <c r="G49" s="4">
        <v>0</v>
      </c>
      <c r="H49" s="4">
        <f t="shared" si="70"/>
        <v>3500000</v>
      </c>
      <c r="I49" s="49">
        <f>+'202401anual'!E135</f>
        <v>0</v>
      </c>
      <c r="J49" s="4">
        <v>0</v>
      </c>
      <c r="K49" s="4">
        <f t="shared" si="71"/>
        <v>0</v>
      </c>
      <c r="L49" s="89">
        <f>+'202401anual'!F135</f>
        <v>0</v>
      </c>
      <c r="M49" s="89"/>
      <c r="N49" s="4">
        <f t="shared" si="86"/>
        <v>0</v>
      </c>
      <c r="O49" s="89">
        <f>+'202401anual'!G135</f>
        <v>4000000</v>
      </c>
      <c r="P49" s="89"/>
      <c r="Q49" s="89">
        <f t="shared" si="87"/>
        <v>4000000</v>
      </c>
      <c r="R49" s="89">
        <f>+'202401anual'!H135</f>
        <v>4000000</v>
      </c>
      <c r="S49" s="4">
        <v>0</v>
      </c>
      <c r="T49" s="4">
        <f t="shared" si="73"/>
        <v>4000000</v>
      </c>
      <c r="U49" s="89">
        <f>+'202401anual'!I135</f>
        <v>2000000</v>
      </c>
      <c r="V49" s="4"/>
      <c r="W49" s="4">
        <f t="shared" si="88"/>
        <v>2000000</v>
      </c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0"/>
        <v>17000000</v>
      </c>
      <c r="AN49" s="4">
        <f t="shared" si="81"/>
        <v>0</v>
      </c>
      <c r="AO49" s="4">
        <f t="shared" si="82"/>
        <v>17000000</v>
      </c>
      <c r="AP49" s="43">
        <f t="shared" si="84"/>
        <v>100</v>
      </c>
      <c r="AQ49" s="34"/>
      <c r="AR49" s="50"/>
      <c r="AS49" s="45"/>
      <c r="AT49" s="2"/>
      <c r="AU49" s="2"/>
      <c r="BB49" s="24"/>
    </row>
    <row r="50" spans="1:54" x14ac:dyDescent="0.25">
      <c r="A50" s="12" t="s">
        <v>185</v>
      </c>
      <c r="B50" s="8">
        <f>SUM(B37:B49)</f>
        <v>788346572.67733967</v>
      </c>
      <c r="C50" s="8">
        <f>SUM(C37:C49)</f>
        <v>57712297.723111644</v>
      </c>
      <c r="D50" s="8">
        <f t="shared" ref="D50:AO50" si="89">SUM(D37:D49)</f>
        <v>31788781.292999998</v>
      </c>
      <c r="E50" s="8">
        <f t="shared" si="89"/>
        <v>25923516.430111647</v>
      </c>
      <c r="F50" s="8">
        <f>SUM(F37:F49)</f>
        <v>57712297.723111644</v>
      </c>
      <c r="G50" s="8">
        <f t="shared" si="89"/>
        <v>55983967</v>
      </c>
      <c r="H50" s="8">
        <f t="shared" si="89"/>
        <v>1728330.7231116444</v>
      </c>
      <c r="I50" s="8">
        <f t="shared" si="89"/>
        <v>31082297.723111644</v>
      </c>
      <c r="J50" s="8">
        <f>SUM(J37:J49)</f>
        <v>27520790</v>
      </c>
      <c r="K50" s="8">
        <f t="shared" si="89"/>
        <v>3561507.7231116435</v>
      </c>
      <c r="L50" s="8">
        <f t="shared" si="89"/>
        <v>55041804.556444973</v>
      </c>
      <c r="M50" s="8">
        <f t="shared" si="89"/>
        <v>57844472.150000006</v>
      </c>
      <c r="N50" s="8">
        <f t="shared" si="89"/>
        <v>-2802667.5935550258</v>
      </c>
      <c r="O50" s="8">
        <f t="shared" si="89"/>
        <v>59041804.556444973</v>
      </c>
      <c r="P50" s="8">
        <f>SUM(P37:P49)</f>
        <v>53629150</v>
      </c>
      <c r="Q50" s="8">
        <f t="shared" si="89"/>
        <v>5412654.5564449765</v>
      </c>
      <c r="R50" s="8">
        <f t="shared" si="89"/>
        <v>69410804.556444973</v>
      </c>
      <c r="S50" s="8">
        <f t="shared" si="89"/>
        <v>53958407</v>
      </c>
      <c r="T50" s="8">
        <f>SUM(T37:T49)</f>
        <v>15452397.556444976</v>
      </c>
      <c r="U50" s="8">
        <f t="shared" si="89"/>
        <v>83873522.556444973</v>
      </c>
      <c r="V50" s="8">
        <f t="shared" si="89"/>
        <v>29481011.699999999</v>
      </c>
      <c r="W50" s="8">
        <f t="shared" si="89"/>
        <v>54392510.856444977</v>
      </c>
      <c r="X50" s="8">
        <f t="shared" si="89"/>
        <v>0</v>
      </c>
      <c r="Y50" s="8">
        <f t="shared" si="89"/>
        <v>0</v>
      </c>
      <c r="Z50" s="8">
        <f t="shared" si="89"/>
        <v>0</v>
      </c>
      <c r="AA50" s="8">
        <f t="shared" si="89"/>
        <v>0</v>
      </c>
      <c r="AB50" s="8">
        <f t="shared" si="89"/>
        <v>0</v>
      </c>
      <c r="AC50" s="8">
        <f t="shared" si="89"/>
        <v>0</v>
      </c>
      <c r="AD50" s="8">
        <f t="shared" si="89"/>
        <v>0</v>
      </c>
      <c r="AE50" s="8">
        <f t="shared" si="89"/>
        <v>0</v>
      </c>
      <c r="AF50" s="8">
        <f t="shared" si="89"/>
        <v>0</v>
      </c>
      <c r="AG50" s="8">
        <f t="shared" si="89"/>
        <v>0</v>
      </c>
      <c r="AH50" s="8">
        <f t="shared" si="89"/>
        <v>0</v>
      </c>
      <c r="AI50" s="8">
        <f t="shared" si="89"/>
        <v>0</v>
      </c>
      <c r="AJ50" s="8">
        <f t="shared" si="89"/>
        <v>0</v>
      </c>
      <c r="AK50" s="8">
        <f t="shared" si="89"/>
        <v>0</v>
      </c>
      <c r="AL50" s="8">
        <f t="shared" si="89"/>
        <v>0</v>
      </c>
      <c r="AM50" s="8">
        <f t="shared" si="89"/>
        <v>413874829.39511484</v>
      </c>
      <c r="AN50" s="8">
        <f t="shared" si="89"/>
        <v>310206579.14300001</v>
      </c>
      <c r="AO50" s="8">
        <f t="shared" si="89"/>
        <v>103668250.25211483</v>
      </c>
      <c r="AP50" s="31">
        <f>+AO50/AM50</f>
        <v>0.25048213345959636</v>
      </c>
      <c r="AQ50" s="34"/>
      <c r="AR50" s="50"/>
      <c r="AS50" s="45"/>
      <c r="AT50" s="2"/>
      <c r="AU50" s="2"/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4"/>
      <c r="AQ51" s="34"/>
      <c r="AR51" s="50"/>
      <c r="AS51" s="45"/>
      <c r="AT51" s="2"/>
      <c r="AU51" s="2"/>
      <c r="BA51" s="77"/>
      <c r="BB51" s="24"/>
    </row>
    <row r="52" spans="1:54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69"/>
        <v>2625390.8855042718</v>
      </c>
      <c r="F52" s="4">
        <v>26796512.592504274</v>
      </c>
      <c r="G52" s="4">
        <v>23486087</v>
      </c>
      <c r="H52" s="4">
        <f t="shared" si="70"/>
        <v>3310425.5925042741</v>
      </c>
      <c r="I52" s="4">
        <f>+'202401anual'!E82</f>
        <v>26796512.592504274</v>
      </c>
      <c r="J52" s="4">
        <v>22605101.019999996</v>
      </c>
      <c r="K52" s="4">
        <f t="shared" ref="K52:K97" si="90">+I52-J52</f>
        <v>4191411.5725042783</v>
      </c>
      <c r="L52" s="4">
        <f>+'202401anual'!F82</f>
        <v>26796512.592504274</v>
      </c>
      <c r="M52" s="4">
        <v>21857785</v>
      </c>
      <c r="N52" s="4">
        <f t="shared" ref="N52:N97" si="91">+L52-M52</f>
        <v>4938727.5925042741</v>
      </c>
      <c r="O52" s="4">
        <f>+'202401anual'!H82</f>
        <v>26796512.592504274</v>
      </c>
      <c r="P52" s="4">
        <v>30762783</v>
      </c>
      <c r="Q52" s="4">
        <f t="shared" ref="Q52:Q97" si="92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7" si="93">+R52-S52</f>
        <v>5907354.3110042736</v>
      </c>
      <c r="U52" s="4">
        <f>+'202401anual'!I82</f>
        <v>26796512.592504274</v>
      </c>
      <c r="V52" s="4">
        <v>25513414</v>
      </c>
      <c r="W52" s="4">
        <f t="shared" ref="W52:W97" si="94">+U52-V52</f>
        <v>1283098.5925042741</v>
      </c>
      <c r="X52" s="4"/>
      <c r="Y52" s="4"/>
      <c r="Z52" s="4">
        <f t="shared" ref="Z52:Z97" si="95">+X52-Y52</f>
        <v>0</v>
      </c>
      <c r="AA52" s="4"/>
      <c r="AB52" s="4"/>
      <c r="AC52" s="4">
        <f t="shared" ref="AC52:AC97" si="96">+AA52-AB52</f>
        <v>0</v>
      </c>
      <c r="AD52" s="4"/>
      <c r="AE52" s="4"/>
      <c r="AF52" s="4">
        <f t="shared" si="77"/>
        <v>0</v>
      </c>
      <c r="AG52" s="4"/>
      <c r="AH52" s="4"/>
      <c r="AI52" s="4">
        <f t="shared" si="78"/>
        <v>0</v>
      </c>
      <c r="AJ52" s="4"/>
      <c r="AK52" s="4"/>
      <c r="AL52" s="4">
        <f t="shared" si="79"/>
        <v>0</v>
      </c>
      <c r="AM52" s="4">
        <f t="shared" ref="AM52:AM97" si="97">+C52+F52+I52+L52+O52+R52+U52+X52+AA52+AD52+AG52+AJ52</f>
        <v>187575588.1475299</v>
      </c>
      <c r="AN52" s="4">
        <f t="shared" ref="AN52:AN97" si="98">+D52+G52+J52+M52+P52+S52+V52+Y52+AB52+AE52+AH52+AK52</f>
        <v>169285450.00850001</v>
      </c>
      <c r="AO52" s="4">
        <f t="shared" ref="AO52:AO86" si="99">+AM52-AN52</f>
        <v>18290138.13902989</v>
      </c>
      <c r="AP52" s="43">
        <f t="shared" ref="AP52:AP97" si="100">+AO52/AM52*100</f>
        <v>9.7508094308330424</v>
      </c>
      <c r="AQ52" s="34">
        <f t="shared" si="16"/>
        <v>-133982562.96252137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69"/>
        <v>1075000</v>
      </c>
      <c r="F53" s="4">
        <v>1075000</v>
      </c>
      <c r="G53" s="4">
        <v>0</v>
      </c>
      <c r="H53" s="4">
        <f t="shared" si="70"/>
        <v>1075000</v>
      </c>
      <c r="I53" s="4">
        <f>+'202401anual'!E86</f>
        <v>1075000</v>
      </c>
      <c r="J53" s="4">
        <v>0</v>
      </c>
      <c r="K53" s="4">
        <f t="shared" si="90"/>
        <v>1075000</v>
      </c>
      <c r="L53" s="4">
        <f>+'202401anual'!F86</f>
        <v>1075000</v>
      </c>
      <c r="M53" s="4"/>
      <c r="N53" s="4">
        <f t="shared" si="91"/>
        <v>1075000</v>
      </c>
      <c r="O53" s="4">
        <f>+'202401anual'!G86</f>
        <v>1075000</v>
      </c>
      <c r="P53" s="4"/>
      <c r="Q53" s="4">
        <f t="shared" si="92"/>
        <v>1075000</v>
      </c>
      <c r="R53" s="4">
        <f>+'202401anual'!H86</f>
        <v>1075000</v>
      </c>
      <c r="S53" s="4">
        <v>500000</v>
      </c>
      <c r="T53" s="4">
        <f t="shared" si="93"/>
        <v>575000</v>
      </c>
      <c r="U53" s="4">
        <f>+'202401anual'!I86</f>
        <v>1075000</v>
      </c>
      <c r="V53" s="4">
        <v>250000</v>
      </c>
      <c r="W53" s="4">
        <f t="shared" si="94"/>
        <v>825000</v>
      </c>
      <c r="X53" s="4"/>
      <c r="Y53" s="4"/>
      <c r="Z53" s="4">
        <f t="shared" si="95"/>
        <v>0</v>
      </c>
      <c r="AA53" s="4"/>
      <c r="AB53" s="4"/>
      <c r="AC53" s="4">
        <f t="shared" si="96"/>
        <v>0</v>
      </c>
      <c r="AD53" s="4"/>
      <c r="AE53" s="4"/>
      <c r="AF53" s="4">
        <f t="shared" si="77"/>
        <v>0</v>
      </c>
      <c r="AG53" s="4"/>
      <c r="AH53" s="4"/>
      <c r="AI53" s="4">
        <f t="shared" si="78"/>
        <v>0</v>
      </c>
      <c r="AJ53" s="4"/>
      <c r="AK53" s="4"/>
      <c r="AL53" s="4">
        <f t="shared" si="79"/>
        <v>0</v>
      </c>
      <c r="AM53" s="4">
        <f t="shared" si="97"/>
        <v>7525000</v>
      </c>
      <c r="AN53" s="4">
        <f t="shared" si="98"/>
        <v>750000</v>
      </c>
      <c r="AO53" s="4">
        <f t="shared" si="99"/>
        <v>6775000</v>
      </c>
      <c r="AP53" s="43">
        <f t="shared" si="100"/>
        <v>90.033222591362133</v>
      </c>
      <c r="AQ53" s="34">
        <f t="shared" si="16"/>
        <v>-5375000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69"/>
        <v>-216960</v>
      </c>
      <c r="F54" s="4">
        <v>11965000</v>
      </c>
      <c r="G54" s="4">
        <v>10881960</v>
      </c>
      <c r="H54" s="4">
        <f t="shared" si="70"/>
        <v>1083040</v>
      </c>
      <c r="I54" s="4">
        <f>+'202401anual'!E88</f>
        <v>11965000</v>
      </c>
      <c r="J54" s="4">
        <v>10881960</v>
      </c>
      <c r="K54" s="4">
        <f t="shared" si="90"/>
        <v>1083040</v>
      </c>
      <c r="L54" s="4">
        <f>+'202401anual'!F88</f>
        <v>11965000</v>
      </c>
      <c r="M54" s="4">
        <v>11181960</v>
      </c>
      <c r="N54" s="4">
        <f t="shared" si="91"/>
        <v>783040</v>
      </c>
      <c r="O54" s="4">
        <f>+'202401anual'!G88</f>
        <v>11965000</v>
      </c>
      <c r="P54" s="4">
        <v>11681960</v>
      </c>
      <c r="Q54" s="4">
        <f t="shared" si="92"/>
        <v>283040</v>
      </c>
      <c r="R54" s="4">
        <f>+'202401anual'!H88</f>
        <v>11965000</v>
      </c>
      <c r="S54" s="4">
        <v>11950960</v>
      </c>
      <c r="T54" s="4">
        <f t="shared" si="93"/>
        <v>14040</v>
      </c>
      <c r="U54" s="4">
        <f>+'202401anual'!I88</f>
        <v>11965000</v>
      </c>
      <c r="V54" s="4">
        <v>10881960</v>
      </c>
      <c r="W54" s="4">
        <f t="shared" si="94"/>
        <v>1083040</v>
      </c>
      <c r="X54" s="4"/>
      <c r="Y54" s="4"/>
      <c r="Z54" s="4">
        <f t="shared" si="95"/>
        <v>0</v>
      </c>
      <c r="AA54" s="4"/>
      <c r="AB54" s="4"/>
      <c r="AC54" s="4">
        <f t="shared" si="96"/>
        <v>0</v>
      </c>
      <c r="AD54" s="4"/>
      <c r="AE54" s="4"/>
      <c r="AF54" s="4">
        <f t="shared" si="77"/>
        <v>0</v>
      </c>
      <c r="AG54" s="4"/>
      <c r="AH54" s="4"/>
      <c r="AI54" s="4">
        <f t="shared" si="78"/>
        <v>0</v>
      </c>
      <c r="AJ54" s="4"/>
      <c r="AK54" s="4"/>
      <c r="AL54" s="4">
        <f t="shared" si="79"/>
        <v>0</v>
      </c>
      <c r="AM54" s="4">
        <f t="shared" si="97"/>
        <v>83755000</v>
      </c>
      <c r="AN54" s="4">
        <f t="shared" si="98"/>
        <v>79642720</v>
      </c>
      <c r="AO54" s="4">
        <f t="shared" si="99"/>
        <v>4112280</v>
      </c>
      <c r="AP54" s="43">
        <f t="shared" si="100"/>
        <v>4.9098919467494477</v>
      </c>
      <c r="AQ54" s="34">
        <f t="shared" si="16"/>
        <v>-59825000</v>
      </c>
      <c r="AR54" s="38"/>
      <c r="AS54" s="38"/>
      <c r="AT54" s="2"/>
      <c r="AU54" s="2"/>
    </row>
    <row r="55" spans="1:54" x14ac:dyDescent="0.25">
      <c r="A55" s="78" t="s">
        <v>89</v>
      </c>
      <c r="B55" s="4">
        <f>+'202401anual'!B89</f>
        <v>9500000</v>
      </c>
      <c r="C55" s="4">
        <v>0</v>
      </c>
      <c r="D55" s="4">
        <v>0</v>
      </c>
      <c r="E55" s="4">
        <f t="shared" si="69"/>
        <v>0</v>
      </c>
      <c r="F55" s="4">
        <v>0</v>
      </c>
      <c r="G55" s="4">
        <v>0</v>
      </c>
      <c r="H55" s="4">
        <f t="shared" si="70"/>
        <v>0</v>
      </c>
      <c r="I55" s="4">
        <f>+'202401anual'!E89</f>
        <v>0</v>
      </c>
      <c r="J55" s="4">
        <v>0</v>
      </c>
      <c r="K55" s="4">
        <f t="shared" si="90"/>
        <v>0</v>
      </c>
      <c r="L55" s="4">
        <v>3500000</v>
      </c>
      <c r="M55" s="4">
        <f>8044340+2860000</f>
        <v>10904340</v>
      </c>
      <c r="N55" s="4">
        <f t="shared" si="91"/>
        <v>-7404340</v>
      </c>
      <c r="O55" s="4">
        <f>+'202401anual'!G89</f>
        <v>3500000</v>
      </c>
      <c r="P55" s="4">
        <v>10098350</v>
      </c>
      <c r="Q55" s="4">
        <f t="shared" si="92"/>
        <v>-6598350</v>
      </c>
      <c r="R55" s="4">
        <f>+'202401anual'!H89</f>
        <v>3500000</v>
      </c>
      <c r="S55" s="4">
        <v>4108500</v>
      </c>
      <c r="T55" s="4">
        <f t="shared" si="93"/>
        <v>-608500</v>
      </c>
      <c r="U55" s="4">
        <f>+'202401anual'!I89</f>
        <v>6500000</v>
      </c>
      <c r="V55" s="4"/>
      <c r="W55" s="4">
        <f t="shared" si="94"/>
        <v>6500000</v>
      </c>
      <c r="X55" s="4"/>
      <c r="Y55" s="4"/>
      <c r="Z55" s="4">
        <f t="shared" si="95"/>
        <v>0</v>
      </c>
      <c r="AA55" s="4"/>
      <c r="AB55" s="4"/>
      <c r="AC55" s="4">
        <f t="shared" si="96"/>
        <v>0</v>
      </c>
      <c r="AD55" s="4"/>
      <c r="AE55" s="4"/>
      <c r="AF55" s="4">
        <f t="shared" si="77"/>
        <v>0</v>
      </c>
      <c r="AG55" s="4"/>
      <c r="AH55" s="4"/>
      <c r="AI55" s="4">
        <f t="shared" si="78"/>
        <v>0</v>
      </c>
      <c r="AJ55" s="4"/>
      <c r="AK55" s="4"/>
      <c r="AL55" s="4">
        <f t="shared" si="79"/>
        <v>0</v>
      </c>
      <c r="AM55" s="4">
        <f t="shared" si="97"/>
        <v>17000000</v>
      </c>
      <c r="AN55" s="4">
        <f t="shared" si="98"/>
        <v>25111190</v>
      </c>
      <c r="AO55" s="4">
        <f t="shared" si="99"/>
        <v>-8111190</v>
      </c>
      <c r="AP55" s="43">
        <f t="shared" si="100"/>
        <v>-47.712882352941179</v>
      </c>
      <c r="AQ55" s="34">
        <f t="shared" si="16"/>
        <v>7500000</v>
      </c>
      <c r="AR55" s="38"/>
      <c r="AS55" s="38"/>
      <c r="AT55" s="2"/>
      <c r="AU55" s="2"/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69"/>
        <v>2938605</v>
      </c>
      <c r="F56" s="4">
        <v>5465000</v>
      </c>
      <c r="G56" s="4">
        <v>2353389</v>
      </c>
      <c r="H56" s="4">
        <f t="shared" si="70"/>
        <v>3111611</v>
      </c>
      <c r="I56" s="4">
        <f>+'202401anual'!E90</f>
        <v>1865000</v>
      </c>
      <c r="J56" s="4">
        <v>2717394</v>
      </c>
      <c r="K56" s="4">
        <f t="shared" si="90"/>
        <v>-852394</v>
      </c>
      <c r="L56" s="4">
        <f>+'202401anual'!F90</f>
        <v>5465000</v>
      </c>
      <c r="M56" s="4">
        <v>2844872</v>
      </c>
      <c r="N56" s="4">
        <f t="shared" si="91"/>
        <v>2620128</v>
      </c>
      <c r="O56" s="4">
        <f>+'202401anual'!G90</f>
        <v>5165000</v>
      </c>
      <c r="P56" s="4">
        <v>3524138</v>
      </c>
      <c r="Q56" s="4">
        <f t="shared" si="92"/>
        <v>1640862</v>
      </c>
      <c r="R56" s="4">
        <f>+'202401anual'!H90</f>
        <v>5165000</v>
      </c>
      <c r="S56" s="4">
        <v>3757287</v>
      </c>
      <c r="T56" s="4">
        <f t="shared" si="93"/>
        <v>1407713</v>
      </c>
      <c r="U56" s="4">
        <f>+'202401anual'!I90</f>
        <v>5165000</v>
      </c>
      <c r="V56" s="4">
        <v>2526005</v>
      </c>
      <c r="W56" s="4">
        <f t="shared" si="94"/>
        <v>2638995</v>
      </c>
      <c r="X56" s="4"/>
      <c r="Y56" s="4"/>
      <c r="Z56" s="4">
        <f t="shared" si="95"/>
        <v>0</v>
      </c>
      <c r="AA56" s="4"/>
      <c r="AB56" s="4"/>
      <c r="AC56" s="4">
        <f t="shared" si="96"/>
        <v>0</v>
      </c>
      <c r="AD56" s="4"/>
      <c r="AE56" s="4"/>
      <c r="AF56" s="4">
        <f t="shared" si="77"/>
        <v>0</v>
      </c>
      <c r="AG56" s="4"/>
      <c r="AH56" s="4"/>
      <c r="AI56" s="4">
        <f t="shared" si="78"/>
        <v>0</v>
      </c>
      <c r="AJ56" s="4"/>
      <c r="AK56" s="4"/>
      <c r="AL56" s="4">
        <f t="shared" si="79"/>
        <v>0</v>
      </c>
      <c r="AM56" s="4">
        <f t="shared" si="97"/>
        <v>33755000</v>
      </c>
      <c r="AN56" s="4">
        <f t="shared" si="98"/>
        <v>20249480</v>
      </c>
      <c r="AO56" s="4">
        <f t="shared" si="99"/>
        <v>13505520</v>
      </c>
      <c r="AP56" s="43">
        <f t="shared" si="100"/>
        <v>40.01042808472819</v>
      </c>
      <c r="AQ56" s="34">
        <f t="shared" si="16"/>
        <v>-28225000</v>
      </c>
      <c r="AR56" s="38"/>
      <c r="AS56" s="38"/>
      <c r="AT56" s="2"/>
      <c r="AU56" s="2"/>
    </row>
    <row r="57" spans="1:54" ht="24.75" x14ac:dyDescent="0.25">
      <c r="A57" s="79" t="s">
        <v>65</v>
      </c>
      <c r="B57" s="52">
        <v>121000000</v>
      </c>
      <c r="C57" s="4">
        <v>0</v>
      </c>
      <c r="D57" s="4">
        <v>0</v>
      </c>
      <c r="E57" s="4">
        <f t="shared" si="69"/>
        <v>0</v>
      </c>
      <c r="F57" s="4">
        <v>0</v>
      </c>
      <c r="G57" s="4">
        <v>1840000</v>
      </c>
      <c r="H57" s="4">
        <f t="shared" si="70"/>
        <v>-1840000</v>
      </c>
      <c r="I57" s="4">
        <f>+'202401anual'!E91-30412393</f>
        <v>13837607</v>
      </c>
      <c r="J57" s="4">
        <v>0</v>
      </c>
      <c r="K57" s="4">
        <f t="shared" si="90"/>
        <v>13837607</v>
      </c>
      <c r="L57" s="4">
        <f>28000000+16250000</f>
        <v>44250000</v>
      </c>
      <c r="M57" s="4"/>
      <c r="N57" s="4">
        <f t="shared" si="91"/>
        <v>44250000</v>
      </c>
      <c r="O57" s="4">
        <f>+'202401anual'!G91</f>
        <v>0</v>
      </c>
      <c r="P57" s="4">
        <v>0</v>
      </c>
      <c r="Q57" s="4">
        <f t="shared" si="92"/>
        <v>0</v>
      </c>
      <c r="R57" s="4">
        <f>+'202401anual'!H91</f>
        <v>16250000</v>
      </c>
      <c r="S57" s="4">
        <f>5409460+10046140</f>
        <v>15455600</v>
      </c>
      <c r="T57" s="4">
        <f t="shared" si="93"/>
        <v>794400</v>
      </c>
      <c r="U57" s="4">
        <v>0</v>
      </c>
      <c r="V57" s="4">
        <v>0</v>
      </c>
      <c r="W57" s="4">
        <f t="shared" si="94"/>
        <v>0</v>
      </c>
      <c r="X57" s="4"/>
      <c r="Y57" s="4"/>
      <c r="Z57" s="4">
        <f t="shared" si="95"/>
        <v>0</v>
      </c>
      <c r="AA57" s="4"/>
      <c r="AB57" s="4"/>
      <c r="AC57" s="4">
        <f t="shared" si="96"/>
        <v>0</v>
      </c>
      <c r="AD57" s="4"/>
      <c r="AE57" s="4"/>
      <c r="AF57" s="4">
        <f t="shared" si="77"/>
        <v>0</v>
      </c>
      <c r="AG57" s="4"/>
      <c r="AH57" s="4"/>
      <c r="AI57" s="4">
        <f t="shared" si="78"/>
        <v>0</v>
      </c>
      <c r="AJ57" s="4"/>
      <c r="AK57" s="4"/>
      <c r="AL57" s="4">
        <f t="shared" si="79"/>
        <v>0</v>
      </c>
      <c r="AM57" s="4">
        <f t="shared" si="97"/>
        <v>74337607</v>
      </c>
      <c r="AN57" s="4">
        <f t="shared" si="98"/>
        <v>17295600</v>
      </c>
      <c r="AO57" s="4">
        <f t="shared" si="99"/>
        <v>57042007</v>
      </c>
      <c r="AP57" s="43">
        <f t="shared" si="100"/>
        <v>76.733714336540316</v>
      </c>
      <c r="AQ57" s="34">
        <f t="shared" si="16"/>
        <v>-46662393</v>
      </c>
      <c r="AR57" s="38"/>
      <c r="AS57" s="38"/>
      <c r="AT57" s="2"/>
      <c r="AU57" s="2"/>
    </row>
    <row r="58" spans="1:54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69"/>
        <v>0</v>
      </c>
      <c r="F58" s="4">
        <v>0</v>
      </c>
      <c r="G58" s="4">
        <v>0</v>
      </c>
      <c r="H58" s="4">
        <f t="shared" si="70"/>
        <v>0</v>
      </c>
      <c r="I58" s="4">
        <f>+'202401anual'!E94</f>
        <v>11993500</v>
      </c>
      <c r="J58" s="4">
        <v>0</v>
      </c>
      <c r="K58" s="4">
        <f t="shared" si="90"/>
        <v>11993500</v>
      </c>
      <c r="L58" s="4">
        <f>3000000+857000</f>
        <v>3857000</v>
      </c>
      <c r="M58" s="4">
        <v>160000</v>
      </c>
      <c r="N58" s="4">
        <f t="shared" si="91"/>
        <v>3697000</v>
      </c>
      <c r="O58" s="4">
        <f>+'202401anual'!G94</f>
        <v>3428500</v>
      </c>
      <c r="P58" s="4">
        <v>1579500</v>
      </c>
      <c r="Q58" s="4">
        <f t="shared" si="92"/>
        <v>1849000</v>
      </c>
      <c r="R58" s="4">
        <f>+'202401anual'!H131</f>
        <v>1091500</v>
      </c>
      <c r="S58" s="4">
        <v>1836000</v>
      </c>
      <c r="T58" s="4">
        <f t="shared" si="93"/>
        <v>-744500</v>
      </c>
      <c r="U58" s="4">
        <f>+'202401anual'!I94</f>
        <v>3428500</v>
      </c>
      <c r="V58" s="4"/>
      <c r="W58" s="4">
        <f t="shared" si="94"/>
        <v>3428500</v>
      </c>
      <c r="X58" s="4"/>
      <c r="Y58" s="4"/>
      <c r="Z58" s="4">
        <f t="shared" si="95"/>
        <v>0</v>
      </c>
      <c r="AA58" s="4"/>
      <c r="AB58" s="4"/>
      <c r="AC58" s="4">
        <f t="shared" si="96"/>
        <v>0</v>
      </c>
      <c r="AD58" s="4"/>
      <c r="AE58" s="4"/>
      <c r="AF58" s="4">
        <f t="shared" si="77"/>
        <v>0</v>
      </c>
      <c r="AG58" s="4"/>
      <c r="AH58" s="4"/>
      <c r="AI58" s="4">
        <f t="shared" si="78"/>
        <v>0</v>
      </c>
      <c r="AJ58" s="4"/>
      <c r="AK58" s="4"/>
      <c r="AL58" s="4">
        <f t="shared" si="79"/>
        <v>0</v>
      </c>
      <c r="AM58" s="4">
        <f t="shared" si="97"/>
        <v>23799000</v>
      </c>
      <c r="AN58" s="4">
        <f t="shared" si="98"/>
        <v>3575500</v>
      </c>
      <c r="AO58" s="4">
        <f t="shared" si="99"/>
        <v>20223500</v>
      </c>
      <c r="AP58" s="43">
        <f t="shared" si="100"/>
        <v>84.976259506701965</v>
      </c>
      <c r="AQ58" s="34">
        <f t="shared" si="16"/>
        <v>-7486000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69"/>
        <v>369983.66666666663</v>
      </c>
      <c r="F59" s="4">
        <v>666666.66666666663</v>
      </c>
      <c r="G59" s="4">
        <v>264087</v>
      </c>
      <c r="H59" s="4">
        <f t="shared" si="70"/>
        <v>402579.66666666663</v>
      </c>
      <c r="I59" s="4">
        <f>+'202401anual'!E95</f>
        <v>666666.66666666663</v>
      </c>
      <c r="J59" s="4">
        <v>0</v>
      </c>
      <c r="K59" s="4">
        <f t="shared" si="90"/>
        <v>666666.66666666663</v>
      </c>
      <c r="L59" s="4">
        <f>+'202401anual'!F95</f>
        <v>666666.66666666663</v>
      </c>
      <c r="M59" s="4">
        <v>425312</v>
      </c>
      <c r="N59" s="4">
        <f t="shared" si="91"/>
        <v>241354.66666666663</v>
      </c>
      <c r="O59" s="4">
        <f>+'202401anual'!G95</f>
        <v>666666.66666666663</v>
      </c>
      <c r="P59" s="4">
        <v>240257</v>
      </c>
      <c r="Q59" s="4">
        <f t="shared" si="92"/>
        <v>426409.66666666663</v>
      </c>
      <c r="R59" s="4">
        <f>+'202401anual'!H95</f>
        <v>666666.66666666663</v>
      </c>
      <c r="S59" s="4"/>
      <c r="T59" s="4">
        <f t="shared" si="93"/>
        <v>666666.66666666663</v>
      </c>
      <c r="U59" s="4">
        <f>+'202401anual'!I95</f>
        <v>666666.66666666663</v>
      </c>
      <c r="V59" s="4">
        <v>489565</v>
      </c>
      <c r="W59" s="4">
        <f t="shared" si="94"/>
        <v>177101.66666666663</v>
      </c>
      <c r="X59" s="4"/>
      <c r="Y59" s="4"/>
      <c r="Z59" s="4">
        <f t="shared" si="95"/>
        <v>0</v>
      </c>
      <c r="AA59" s="4"/>
      <c r="AB59" s="4"/>
      <c r="AC59" s="4">
        <f t="shared" si="96"/>
        <v>0</v>
      </c>
      <c r="AD59" s="4"/>
      <c r="AE59" s="4"/>
      <c r="AF59" s="4">
        <f t="shared" si="77"/>
        <v>0</v>
      </c>
      <c r="AG59" s="4"/>
      <c r="AH59" s="4"/>
      <c r="AI59" s="4">
        <f t="shared" si="78"/>
        <v>0</v>
      </c>
      <c r="AJ59" s="4"/>
      <c r="AK59" s="4"/>
      <c r="AL59" s="4">
        <f t="shared" si="79"/>
        <v>0</v>
      </c>
      <c r="AM59" s="4">
        <f t="shared" si="97"/>
        <v>4666666.666666666</v>
      </c>
      <c r="AN59" s="4">
        <f t="shared" si="98"/>
        <v>1715904</v>
      </c>
      <c r="AO59" s="4">
        <f t="shared" si="99"/>
        <v>2950762.666666666</v>
      </c>
      <c r="AP59" s="43">
        <f t="shared" si="100"/>
        <v>63.230628571428568</v>
      </c>
      <c r="AQ59" s="34">
        <f t="shared" si="16"/>
        <v>-3333333.333333334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69"/>
        <v>0</v>
      </c>
      <c r="F60" s="4">
        <v>13000000</v>
      </c>
      <c r="G60" s="4">
        <v>0</v>
      </c>
      <c r="H60" s="4">
        <f t="shared" si="70"/>
        <v>13000000</v>
      </c>
      <c r="I60" s="4">
        <f>+'202401anual'!E96</f>
        <v>0</v>
      </c>
      <c r="J60" s="4">
        <v>0</v>
      </c>
      <c r="K60" s="4">
        <f t="shared" si="90"/>
        <v>0</v>
      </c>
      <c r="L60" s="4">
        <v>26000000</v>
      </c>
      <c r="M60" s="4">
        <f>2368000+10504800</f>
        <v>12872800</v>
      </c>
      <c r="N60" s="4">
        <f t="shared" si="91"/>
        <v>13127200</v>
      </c>
      <c r="O60" s="4">
        <v>0</v>
      </c>
      <c r="P60" s="4">
        <f>126000+243000+383200</f>
        <v>752200</v>
      </c>
      <c r="Q60" s="4">
        <f t="shared" si="92"/>
        <v>-752200</v>
      </c>
      <c r="R60" s="4">
        <f>+'202401anual'!H96</f>
        <v>13000000</v>
      </c>
      <c r="S60" s="4">
        <f>463600+25708000+704200</f>
        <v>26875800</v>
      </c>
      <c r="T60" s="4">
        <f t="shared" si="93"/>
        <v>-13875800</v>
      </c>
      <c r="U60" s="4">
        <f>+'202401anual'!I96</f>
        <v>13000000</v>
      </c>
      <c r="V60" s="4"/>
      <c r="W60" s="4">
        <f t="shared" si="94"/>
        <v>13000000</v>
      </c>
      <c r="X60" s="4"/>
      <c r="Y60" s="4"/>
      <c r="Z60" s="4">
        <f t="shared" si="95"/>
        <v>0</v>
      </c>
      <c r="AA60" s="4"/>
      <c r="AB60" s="4"/>
      <c r="AC60" s="4">
        <f t="shared" si="96"/>
        <v>0</v>
      </c>
      <c r="AD60" s="4"/>
      <c r="AE60" s="4"/>
      <c r="AF60" s="4">
        <f t="shared" si="77"/>
        <v>0</v>
      </c>
      <c r="AG60" s="4"/>
      <c r="AH60" s="4"/>
      <c r="AI60" s="4">
        <f t="shared" si="78"/>
        <v>0</v>
      </c>
      <c r="AJ60" s="4"/>
      <c r="AK60" s="4"/>
      <c r="AL60" s="4">
        <f t="shared" si="79"/>
        <v>0</v>
      </c>
      <c r="AM60" s="4">
        <f t="shared" si="97"/>
        <v>65000000</v>
      </c>
      <c r="AN60" s="4">
        <f t="shared" si="98"/>
        <v>40500800</v>
      </c>
      <c r="AO60" s="4">
        <f t="shared" si="99"/>
        <v>24499200</v>
      </c>
      <c r="AP60" s="43">
        <f t="shared" si="100"/>
        <v>37.69107692307692</v>
      </c>
      <c r="AQ60" s="34">
        <f t="shared" si="16"/>
        <v>-52000000</v>
      </c>
      <c r="AR60" s="38"/>
      <c r="AS60" s="38"/>
      <c r="AT60" s="2"/>
      <c r="AU60" s="2"/>
    </row>
    <row r="61" spans="1:54" ht="30" customHeight="1" x14ac:dyDescent="0.25">
      <c r="A61" s="80" t="s">
        <v>180</v>
      </c>
      <c r="B61" s="4">
        <v>12000000</v>
      </c>
      <c r="C61" s="4">
        <v>0</v>
      </c>
      <c r="D61" s="4">
        <v>0</v>
      </c>
      <c r="E61" s="4">
        <f t="shared" si="69"/>
        <v>0</v>
      </c>
      <c r="F61" s="4">
        <v>0</v>
      </c>
      <c r="G61" s="4">
        <v>0</v>
      </c>
      <c r="H61" s="4">
        <f t="shared" si="70"/>
        <v>0</v>
      </c>
      <c r="I61" s="4">
        <f>+'202401anual'!E97</f>
        <v>0</v>
      </c>
      <c r="J61" s="4">
        <v>0</v>
      </c>
      <c r="K61" s="4">
        <f t="shared" si="90"/>
        <v>0</v>
      </c>
      <c r="L61" s="4">
        <f>+'202401anual'!F97</f>
        <v>0</v>
      </c>
      <c r="M61" s="4"/>
      <c r="N61" s="4">
        <f t="shared" si="91"/>
        <v>0</v>
      </c>
      <c r="O61" s="4">
        <f>+'202401anual'!G97</f>
        <v>6000000</v>
      </c>
      <c r="P61" s="4"/>
      <c r="Q61" s="4">
        <f t="shared" si="92"/>
        <v>6000000</v>
      </c>
      <c r="R61" s="4">
        <v>0</v>
      </c>
      <c r="S61" s="4">
        <v>213000</v>
      </c>
      <c r="T61" s="4">
        <f t="shared" si="93"/>
        <v>-213000</v>
      </c>
      <c r="U61" s="4">
        <f>+'202401anual'!I97</f>
        <v>6000000</v>
      </c>
      <c r="V61" s="4">
        <v>0</v>
      </c>
      <c r="W61" s="4">
        <f t="shared" si="94"/>
        <v>6000000</v>
      </c>
      <c r="X61" s="4">
        <f>+'202401anual'!J99</f>
        <v>0</v>
      </c>
      <c r="Y61" s="4"/>
      <c r="Z61" s="4">
        <f t="shared" si="95"/>
        <v>0</v>
      </c>
      <c r="AA61" s="4"/>
      <c r="AB61" s="4"/>
      <c r="AC61" s="4">
        <f t="shared" si="96"/>
        <v>0</v>
      </c>
      <c r="AD61" s="4"/>
      <c r="AE61" s="4"/>
      <c r="AF61" s="4">
        <f t="shared" si="77"/>
        <v>0</v>
      </c>
      <c r="AG61" s="4"/>
      <c r="AH61" s="4"/>
      <c r="AI61" s="4">
        <f t="shared" si="78"/>
        <v>0</v>
      </c>
      <c r="AJ61" s="4"/>
      <c r="AK61" s="4"/>
      <c r="AL61" s="4">
        <f t="shared" si="79"/>
        <v>0</v>
      </c>
      <c r="AM61" s="4">
        <f t="shared" si="97"/>
        <v>12000000</v>
      </c>
      <c r="AN61" s="4">
        <f t="shared" si="98"/>
        <v>213000</v>
      </c>
      <c r="AO61" s="4">
        <f t="shared" si="99"/>
        <v>11787000</v>
      </c>
      <c r="AP61" s="43">
        <f t="shared" si="100"/>
        <v>98.224999999999994</v>
      </c>
      <c r="AQ61" s="34">
        <f t="shared" si="16"/>
        <v>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69"/>
        <v>1840792</v>
      </c>
      <c r="F62" s="4">
        <v>6463000</v>
      </c>
      <c r="G62" s="4">
        <v>4622208</v>
      </c>
      <c r="H62" s="4">
        <f t="shared" si="70"/>
        <v>1840792</v>
      </c>
      <c r="I62" s="4">
        <f>+'202401anual'!E98</f>
        <v>6463000</v>
      </c>
      <c r="J62" s="4">
        <v>4622208</v>
      </c>
      <c r="K62" s="4">
        <f t="shared" si="90"/>
        <v>1840792</v>
      </c>
      <c r="L62" s="4">
        <f>+'202401anual'!F98</f>
        <v>6463000</v>
      </c>
      <c r="M62" s="4">
        <f>4622208*2</f>
        <v>9244416</v>
      </c>
      <c r="N62" s="4">
        <f t="shared" si="91"/>
        <v>-2781416</v>
      </c>
      <c r="O62" s="4">
        <f>+'202401anual'!G98</f>
        <v>10925600</v>
      </c>
      <c r="P62" s="4">
        <f>4622208+1360000</f>
        <v>5982208</v>
      </c>
      <c r="Q62" s="4">
        <f t="shared" si="92"/>
        <v>4943392</v>
      </c>
      <c r="R62" s="4">
        <f>+'202401anual'!H98</f>
        <v>6463000</v>
      </c>
      <c r="S62" s="4">
        <v>2500000</v>
      </c>
      <c r="T62" s="4">
        <f t="shared" si="93"/>
        <v>3963000</v>
      </c>
      <c r="U62" s="4">
        <f>+'202401anual'!I98</f>
        <v>6463000</v>
      </c>
      <c r="V62" s="4">
        <f>9244166+2550000</f>
        <v>11794166</v>
      </c>
      <c r="W62" s="4">
        <f t="shared" si="94"/>
        <v>-5331166</v>
      </c>
      <c r="X62" s="4"/>
      <c r="Y62" s="4"/>
      <c r="Z62" s="4">
        <f t="shared" si="95"/>
        <v>0</v>
      </c>
      <c r="AA62" s="4"/>
      <c r="AB62" s="4"/>
      <c r="AC62" s="4">
        <f t="shared" si="96"/>
        <v>0</v>
      </c>
      <c r="AD62" s="4"/>
      <c r="AE62" s="4"/>
      <c r="AF62" s="4">
        <f t="shared" si="77"/>
        <v>0</v>
      </c>
      <c r="AG62" s="4"/>
      <c r="AH62" s="4"/>
      <c r="AI62" s="4">
        <f t="shared" si="78"/>
        <v>0</v>
      </c>
      <c r="AJ62" s="4"/>
      <c r="AK62" s="4"/>
      <c r="AL62" s="4">
        <f t="shared" si="79"/>
        <v>0</v>
      </c>
      <c r="AM62" s="4">
        <f t="shared" si="97"/>
        <v>49703600</v>
      </c>
      <c r="AN62" s="4">
        <f t="shared" si="98"/>
        <v>43387414</v>
      </c>
      <c r="AO62" s="4">
        <f t="shared" si="99"/>
        <v>6316186</v>
      </c>
      <c r="AP62" s="43">
        <f t="shared" si="100"/>
        <v>12.707703264954651</v>
      </c>
      <c r="AQ62" s="34">
        <f t="shared" si="16"/>
        <v>-32315000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69"/>
        <v>0</v>
      </c>
      <c r="F63" s="4">
        <v>3789200</v>
      </c>
      <c r="G63" s="4">
        <v>3789200</v>
      </c>
      <c r="H63" s="4">
        <f t="shared" si="70"/>
        <v>0</v>
      </c>
      <c r="I63" s="4">
        <f>+'202401anual'!E100</f>
        <v>3789200</v>
      </c>
      <c r="J63" s="4">
        <v>3410280</v>
      </c>
      <c r="K63" s="4">
        <f t="shared" si="90"/>
        <v>378920</v>
      </c>
      <c r="L63" s="4">
        <f>+'202401anual'!F100</f>
        <v>4623000</v>
      </c>
      <c r="M63" s="4">
        <v>3789200</v>
      </c>
      <c r="N63" s="4">
        <f t="shared" si="91"/>
        <v>833800</v>
      </c>
      <c r="O63" s="4">
        <f>+'202401anual'!G100</f>
        <v>8789200</v>
      </c>
      <c r="P63" s="4">
        <v>3789200</v>
      </c>
      <c r="Q63" s="4">
        <f t="shared" si="92"/>
        <v>5000000</v>
      </c>
      <c r="R63" s="4">
        <f>+'202401anual'!H100</f>
        <v>3789200</v>
      </c>
      <c r="S63" s="4">
        <v>3879200</v>
      </c>
      <c r="T63" s="4">
        <f t="shared" si="93"/>
        <v>-90000</v>
      </c>
      <c r="U63" s="4">
        <f>+'202401anual'!I100</f>
        <v>4623000</v>
      </c>
      <c r="V63" s="4">
        <v>3789200</v>
      </c>
      <c r="W63" s="4">
        <f t="shared" si="94"/>
        <v>833800</v>
      </c>
      <c r="X63" s="4"/>
      <c r="Y63" s="4"/>
      <c r="Z63" s="4">
        <f t="shared" si="95"/>
        <v>0</v>
      </c>
      <c r="AA63" s="4"/>
      <c r="AB63" s="4"/>
      <c r="AC63" s="4">
        <f t="shared" si="96"/>
        <v>0</v>
      </c>
      <c r="AD63" s="4"/>
      <c r="AE63" s="4"/>
      <c r="AF63" s="4">
        <f t="shared" si="77"/>
        <v>0</v>
      </c>
      <c r="AG63" s="4"/>
      <c r="AH63" s="4"/>
      <c r="AI63" s="4">
        <f t="shared" si="78"/>
        <v>0</v>
      </c>
      <c r="AJ63" s="4"/>
      <c r="AK63" s="4"/>
      <c r="AL63" s="4">
        <f t="shared" si="79"/>
        <v>0</v>
      </c>
      <c r="AM63" s="4">
        <f t="shared" si="97"/>
        <v>33192000</v>
      </c>
      <c r="AN63" s="4">
        <f t="shared" si="98"/>
        <v>26235480</v>
      </c>
      <c r="AO63" s="4">
        <f t="shared" si="99"/>
        <v>6956520</v>
      </c>
      <c r="AP63" s="43">
        <f t="shared" si="100"/>
        <v>20.958423716558205</v>
      </c>
      <c r="AQ63" s="34">
        <f t="shared" si="16"/>
        <v>-19779800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69"/>
        <v>379200</v>
      </c>
      <c r="F64" s="4">
        <v>3789200</v>
      </c>
      <c r="G64" s="4">
        <v>0</v>
      </c>
      <c r="H64" s="4">
        <f t="shared" si="70"/>
        <v>3789200</v>
      </c>
      <c r="I64" s="4">
        <f>+'202401anual'!E102</f>
        <v>3789200</v>
      </c>
      <c r="J64" s="4">
        <v>3789200</v>
      </c>
      <c r="K64" s="4">
        <f t="shared" si="90"/>
        <v>0</v>
      </c>
      <c r="L64" s="4">
        <f>+'202401anual'!F102</f>
        <v>3789200</v>
      </c>
      <c r="M64" s="4">
        <v>3789200</v>
      </c>
      <c r="N64" s="4">
        <f t="shared" si="91"/>
        <v>0</v>
      </c>
      <c r="O64" s="4">
        <f>+'202401anual'!G102</f>
        <v>3789200</v>
      </c>
      <c r="P64" s="4">
        <v>3729800</v>
      </c>
      <c r="Q64" s="4">
        <f t="shared" si="92"/>
        <v>59400</v>
      </c>
      <c r="R64" s="4">
        <f>+'202401anual'!H102</f>
        <v>3789200</v>
      </c>
      <c r="S64" s="4">
        <v>3879200</v>
      </c>
      <c r="T64" s="4">
        <f t="shared" si="93"/>
        <v>-90000</v>
      </c>
      <c r="U64" s="4">
        <f>+'202401anual'!I102</f>
        <v>3789200</v>
      </c>
      <c r="V64" s="4">
        <v>3789200</v>
      </c>
      <c r="W64" s="4">
        <f t="shared" si="94"/>
        <v>0</v>
      </c>
      <c r="X64" s="4"/>
      <c r="Y64" s="4"/>
      <c r="Z64" s="4">
        <f t="shared" si="95"/>
        <v>0</v>
      </c>
      <c r="AA64" s="4"/>
      <c r="AB64" s="4"/>
      <c r="AC64" s="4">
        <f t="shared" si="96"/>
        <v>0</v>
      </c>
      <c r="AD64" s="4"/>
      <c r="AE64" s="4"/>
      <c r="AF64" s="4">
        <f t="shared" si="77"/>
        <v>0</v>
      </c>
      <c r="AG64" s="4"/>
      <c r="AH64" s="4"/>
      <c r="AI64" s="4">
        <f t="shared" si="78"/>
        <v>0</v>
      </c>
      <c r="AJ64" s="4"/>
      <c r="AK64" s="4"/>
      <c r="AL64" s="4">
        <f t="shared" si="79"/>
        <v>0</v>
      </c>
      <c r="AM64" s="4">
        <f t="shared" si="97"/>
        <v>26524400</v>
      </c>
      <c r="AN64" s="4">
        <f t="shared" si="98"/>
        <v>22386600</v>
      </c>
      <c r="AO64" s="4">
        <f t="shared" si="99"/>
        <v>4137800</v>
      </c>
      <c r="AP64" s="43">
        <f t="shared" si="100"/>
        <v>15.599975871273241</v>
      </c>
      <c r="AQ64" s="34">
        <f t="shared" si="16"/>
        <v>-18946000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69"/>
        <v>500000</v>
      </c>
      <c r="F65" s="4">
        <v>500000</v>
      </c>
      <c r="G65" s="4">
        <v>0</v>
      </c>
      <c r="H65" s="4">
        <f t="shared" si="70"/>
        <v>500000</v>
      </c>
      <c r="I65" s="4">
        <f>+'202401anual'!E105</f>
        <v>500000</v>
      </c>
      <c r="J65" s="4">
        <v>0</v>
      </c>
      <c r="K65" s="4">
        <f t="shared" si="90"/>
        <v>500000</v>
      </c>
      <c r="L65" s="4">
        <f>+'202401anual'!F105</f>
        <v>500000</v>
      </c>
      <c r="M65" s="4">
        <v>0</v>
      </c>
      <c r="N65" s="4">
        <f t="shared" si="91"/>
        <v>500000</v>
      </c>
      <c r="O65" s="4">
        <f>+'202401anual'!G105</f>
        <v>0</v>
      </c>
      <c r="P65" s="4">
        <v>0</v>
      </c>
      <c r="Q65" s="4">
        <f t="shared" si="92"/>
        <v>0</v>
      </c>
      <c r="R65" s="4">
        <f>+'202401anual'!H105</f>
        <v>500000</v>
      </c>
      <c r="S65" s="4"/>
      <c r="T65" s="4">
        <f t="shared" si="93"/>
        <v>500000</v>
      </c>
      <c r="U65" s="4">
        <f>+'202401anual'!I105</f>
        <v>500000</v>
      </c>
      <c r="V65" s="4">
        <v>0</v>
      </c>
      <c r="W65" s="4">
        <f t="shared" si="94"/>
        <v>500000</v>
      </c>
      <c r="X65" s="4"/>
      <c r="Y65" s="4"/>
      <c r="Z65" s="4">
        <f t="shared" si="95"/>
        <v>0</v>
      </c>
      <c r="AA65" s="4"/>
      <c r="AB65" s="4"/>
      <c r="AC65" s="4">
        <f t="shared" si="96"/>
        <v>0</v>
      </c>
      <c r="AD65" s="4"/>
      <c r="AE65" s="4"/>
      <c r="AF65" s="4">
        <f t="shared" si="77"/>
        <v>0</v>
      </c>
      <c r="AG65" s="4"/>
      <c r="AH65" s="4"/>
      <c r="AI65" s="4">
        <f t="shared" si="78"/>
        <v>0</v>
      </c>
      <c r="AJ65" s="4"/>
      <c r="AK65" s="4"/>
      <c r="AL65" s="4">
        <f t="shared" si="79"/>
        <v>0</v>
      </c>
      <c r="AM65" s="4">
        <f t="shared" si="97"/>
        <v>3000000</v>
      </c>
      <c r="AN65" s="4">
        <f t="shared" si="98"/>
        <v>0</v>
      </c>
      <c r="AO65" s="4">
        <f t="shared" si="99"/>
        <v>3000000</v>
      </c>
      <c r="AP65" s="43">
        <f t="shared" si="100"/>
        <v>100</v>
      </c>
      <c r="AQ65" s="34">
        <f t="shared" si="16"/>
        <v>-3000000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69"/>
        <v>1090000</v>
      </c>
      <c r="F66" s="4">
        <v>0</v>
      </c>
      <c r="G66" s="4">
        <v>2030900</v>
      </c>
      <c r="H66" s="4">
        <f t="shared" si="70"/>
        <v>-2030900</v>
      </c>
      <c r="I66" s="4">
        <f>+'202401anual'!E106</f>
        <v>0</v>
      </c>
      <c r="J66" s="4">
        <v>0</v>
      </c>
      <c r="K66" s="4">
        <f t="shared" si="90"/>
        <v>0</v>
      </c>
      <c r="L66" s="4">
        <f>+'202401anual'!F106</f>
        <v>0</v>
      </c>
      <c r="M66" s="4">
        <v>1210000</v>
      </c>
      <c r="N66" s="4">
        <f t="shared" si="91"/>
        <v>-1210000</v>
      </c>
      <c r="O66" s="4">
        <f>+'202401anual'!G106</f>
        <v>500000</v>
      </c>
      <c r="P66" s="4">
        <v>0</v>
      </c>
      <c r="Q66" s="4">
        <f t="shared" si="92"/>
        <v>500000</v>
      </c>
      <c r="R66" s="4">
        <f>+'202401anual'!H106</f>
        <v>1090000</v>
      </c>
      <c r="S66" s="4"/>
      <c r="T66" s="4">
        <f t="shared" si="93"/>
        <v>1090000</v>
      </c>
      <c r="U66" s="4">
        <v>0</v>
      </c>
      <c r="V66" s="4">
        <v>0</v>
      </c>
      <c r="W66" s="4">
        <f t="shared" si="94"/>
        <v>0</v>
      </c>
      <c r="X66" s="4"/>
      <c r="Y66" s="4"/>
      <c r="Z66" s="4">
        <f t="shared" si="95"/>
        <v>0</v>
      </c>
      <c r="AA66" s="4"/>
      <c r="AB66" s="4"/>
      <c r="AC66" s="4">
        <f t="shared" si="96"/>
        <v>0</v>
      </c>
      <c r="AD66" s="4"/>
      <c r="AE66" s="4"/>
      <c r="AF66" s="4">
        <f t="shared" si="77"/>
        <v>0</v>
      </c>
      <c r="AG66" s="4"/>
      <c r="AH66" s="4"/>
      <c r="AI66" s="4">
        <f t="shared" si="78"/>
        <v>0</v>
      </c>
      <c r="AJ66" s="4"/>
      <c r="AK66" s="4"/>
      <c r="AL66" s="4">
        <f t="shared" si="79"/>
        <v>0</v>
      </c>
      <c r="AM66" s="4">
        <f t="shared" si="97"/>
        <v>2680000</v>
      </c>
      <c r="AN66" s="4">
        <f t="shared" si="98"/>
        <v>3240900</v>
      </c>
      <c r="AO66" s="4">
        <f t="shared" si="99"/>
        <v>-560900</v>
      </c>
      <c r="AP66" s="43">
        <f t="shared" si="100"/>
        <v>-20.92910447761194</v>
      </c>
      <c r="AQ66" s="34">
        <f t="shared" si="16"/>
        <v>-590000</v>
      </c>
      <c r="AR66" s="38"/>
      <c r="AS66" s="38"/>
      <c r="AT66" s="2"/>
      <c r="AU66" s="2"/>
    </row>
    <row r="67" spans="1:47" x14ac:dyDescent="0.25">
      <c r="A67" s="21" t="s">
        <v>74</v>
      </c>
      <c r="B67" s="4">
        <f>+'202401anual'!B107</f>
        <v>21000000</v>
      </c>
      <c r="C67" s="4">
        <v>0</v>
      </c>
      <c r="D67" s="4">
        <v>0</v>
      </c>
      <c r="E67" s="4">
        <f t="shared" si="69"/>
        <v>0</v>
      </c>
      <c r="F67" s="4">
        <v>0</v>
      </c>
      <c r="G67" s="4">
        <v>0</v>
      </c>
      <c r="H67" s="4">
        <f t="shared" si="70"/>
        <v>0</v>
      </c>
      <c r="I67" s="4">
        <f>+'202401anual'!E107</f>
        <v>0</v>
      </c>
      <c r="J67" s="4">
        <v>0</v>
      </c>
      <c r="K67" s="4">
        <f t="shared" si="90"/>
        <v>0</v>
      </c>
      <c r="L67" s="4">
        <f>+'202401anual'!F107</f>
        <v>0</v>
      </c>
      <c r="M67" s="4"/>
      <c r="N67" s="4">
        <f t="shared" si="91"/>
        <v>0</v>
      </c>
      <c r="O67" s="4">
        <f>+'202401anual'!G107</f>
        <v>0</v>
      </c>
      <c r="P67" s="4">
        <v>0</v>
      </c>
      <c r="Q67" s="4">
        <f t="shared" si="92"/>
        <v>0</v>
      </c>
      <c r="R67" s="4">
        <v>0</v>
      </c>
      <c r="S67" s="4"/>
      <c r="T67" s="4">
        <f t="shared" si="93"/>
        <v>0</v>
      </c>
      <c r="U67" s="4">
        <v>0</v>
      </c>
      <c r="V67" s="4">
        <v>0</v>
      </c>
      <c r="W67" s="4">
        <f t="shared" si="94"/>
        <v>0</v>
      </c>
      <c r="X67" s="4"/>
      <c r="Y67" s="4"/>
      <c r="Z67" s="4">
        <f t="shared" si="95"/>
        <v>0</v>
      </c>
      <c r="AA67" s="4"/>
      <c r="AB67" s="4"/>
      <c r="AC67" s="4">
        <f t="shared" si="96"/>
        <v>0</v>
      </c>
      <c r="AD67" s="4"/>
      <c r="AE67" s="4"/>
      <c r="AF67" s="4">
        <f t="shared" si="77"/>
        <v>0</v>
      </c>
      <c r="AG67" s="4"/>
      <c r="AH67" s="4"/>
      <c r="AI67" s="4">
        <f t="shared" si="78"/>
        <v>0</v>
      </c>
      <c r="AJ67" s="4"/>
      <c r="AK67" s="4"/>
      <c r="AL67" s="4">
        <f t="shared" si="79"/>
        <v>0</v>
      </c>
      <c r="AM67" s="4">
        <f t="shared" si="97"/>
        <v>0</v>
      </c>
      <c r="AN67" s="4">
        <f t="shared" si="98"/>
        <v>0</v>
      </c>
      <c r="AO67" s="4">
        <f t="shared" si="99"/>
        <v>0</v>
      </c>
      <c r="AP67" s="43" t="e">
        <f t="shared" si="100"/>
        <v>#DIV/0!</v>
      </c>
      <c r="AQ67" s="34">
        <f t="shared" si="16"/>
        <v>-21000000</v>
      </c>
      <c r="AR67" s="38"/>
      <c r="AS67" s="38"/>
      <c r="AT67" s="2"/>
      <c r="AU67" s="2"/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69"/>
        <v>0</v>
      </c>
      <c r="F68" s="4">
        <v>0</v>
      </c>
      <c r="G68" s="4">
        <v>0</v>
      </c>
      <c r="H68" s="4">
        <f t="shared" si="70"/>
        <v>0</v>
      </c>
      <c r="I68" s="4">
        <f>+'202401anual'!E108</f>
        <v>0</v>
      </c>
      <c r="J68" s="4">
        <v>0</v>
      </c>
      <c r="K68" s="4">
        <f t="shared" si="90"/>
        <v>0</v>
      </c>
      <c r="L68" s="4">
        <f>+'202401anual'!F108</f>
        <v>0</v>
      </c>
      <c r="M68" s="4"/>
      <c r="N68" s="4">
        <f t="shared" si="91"/>
        <v>0</v>
      </c>
      <c r="O68" s="4">
        <f>+'202401anual'!G108</f>
        <v>0</v>
      </c>
      <c r="P68" s="4">
        <v>0</v>
      </c>
      <c r="Q68" s="4">
        <f t="shared" si="92"/>
        <v>0</v>
      </c>
      <c r="R68" s="4">
        <v>0</v>
      </c>
      <c r="S68" s="4"/>
      <c r="T68" s="4">
        <f t="shared" si="93"/>
        <v>0</v>
      </c>
      <c r="U68" s="4">
        <v>0</v>
      </c>
      <c r="V68" s="4">
        <v>0</v>
      </c>
      <c r="W68" s="4">
        <f t="shared" si="94"/>
        <v>0</v>
      </c>
      <c r="X68" s="4"/>
      <c r="Y68" s="4"/>
      <c r="Z68" s="4">
        <f t="shared" si="95"/>
        <v>0</v>
      </c>
      <c r="AA68" s="4"/>
      <c r="AB68" s="4"/>
      <c r="AC68" s="4">
        <f t="shared" si="96"/>
        <v>0</v>
      </c>
      <c r="AD68" s="4"/>
      <c r="AE68" s="4"/>
      <c r="AF68" s="4">
        <f t="shared" si="77"/>
        <v>0</v>
      </c>
      <c r="AG68" s="4"/>
      <c r="AH68" s="4"/>
      <c r="AI68" s="4">
        <f t="shared" si="78"/>
        <v>0</v>
      </c>
      <c r="AJ68" s="4"/>
      <c r="AK68" s="4"/>
      <c r="AL68" s="4">
        <f t="shared" si="79"/>
        <v>0</v>
      </c>
      <c r="AM68" s="4">
        <f t="shared" si="97"/>
        <v>0</v>
      </c>
      <c r="AN68" s="4">
        <f t="shared" si="98"/>
        <v>0</v>
      </c>
      <c r="AO68" s="4">
        <f t="shared" si="99"/>
        <v>0</v>
      </c>
      <c r="AP68" s="43" t="e">
        <f t="shared" si="100"/>
        <v>#DIV/0!</v>
      </c>
      <c r="AQ68" s="34">
        <f t="shared" si="16"/>
        <v>-10064000</v>
      </c>
      <c r="AR68" s="38"/>
      <c r="AS68" s="38"/>
      <c r="AT68" s="2"/>
      <c r="AU68" s="2"/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69"/>
        <v>0</v>
      </c>
      <c r="F69" s="4">
        <v>0</v>
      </c>
      <c r="G69" s="4">
        <v>6141300</v>
      </c>
      <c r="H69" s="4">
        <f t="shared" si="70"/>
        <v>-6141300</v>
      </c>
      <c r="I69" s="4">
        <f>+'202401anual'!E110</f>
        <v>3500000</v>
      </c>
      <c r="J69" s="4">
        <v>4250000</v>
      </c>
      <c r="K69" s="4">
        <f t="shared" si="90"/>
        <v>-750000</v>
      </c>
      <c r="L69" s="4">
        <v>5500000</v>
      </c>
      <c r="M69" s="4">
        <v>4805000</v>
      </c>
      <c r="N69" s="4">
        <f t="shared" si="91"/>
        <v>695000</v>
      </c>
      <c r="O69" s="4">
        <f>+'202401anual'!G110</f>
        <v>5500000</v>
      </c>
      <c r="P69" s="4">
        <v>720000</v>
      </c>
      <c r="Q69" s="4">
        <f t="shared" si="92"/>
        <v>4780000</v>
      </c>
      <c r="R69" s="4">
        <f>+'202401anual'!H99</f>
        <v>0</v>
      </c>
      <c r="S69" s="4">
        <v>1320000</v>
      </c>
      <c r="T69" s="4">
        <f t="shared" si="93"/>
        <v>-1320000</v>
      </c>
      <c r="U69" s="4">
        <f>+'202401anual'!I110</f>
        <v>4000000</v>
      </c>
      <c r="V69" s="4">
        <f>1263232+5900000</f>
        <v>7163232</v>
      </c>
      <c r="W69" s="4">
        <f t="shared" si="94"/>
        <v>-3163232</v>
      </c>
      <c r="X69" s="4"/>
      <c r="Y69" s="4"/>
      <c r="Z69" s="4">
        <f t="shared" si="95"/>
        <v>0</v>
      </c>
      <c r="AA69" s="4"/>
      <c r="AB69" s="4"/>
      <c r="AC69" s="4">
        <f t="shared" si="96"/>
        <v>0</v>
      </c>
      <c r="AD69" s="4"/>
      <c r="AE69" s="4"/>
      <c r="AF69" s="4">
        <f t="shared" si="77"/>
        <v>0</v>
      </c>
      <c r="AG69" s="4"/>
      <c r="AH69" s="4"/>
      <c r="AI69" s="4">
        <f t="shared" si="78"/>
        <v>0</v>
      </c>
      <c r="AJ69" s="4">
        <f>+'202401anual'!N108</f>
        <v>0</v>
      </c>
      <c r="AK69" s="4"/>
      <c r="AL69" s="4">
        <f t="shared" si="79"/>
        <v>0</v>
      </c>
      <c r="AM69" s="4">
        <f t="shared" si="97"/>
        <v>18500000</v>
      </c>
      <c r="AN69" s="4">
        <f t="shared" si="98"/>
        <v>24399532</v>
      </c>
      <c r="AO69" s="4">
        <f t="shared" si="99"/>
        <v>-5899532</v>
      </c>
      <c r="AP69" s="43">
        <f t="shared" si="100"/>
        <v>-31.889362162162161</v>
      </c>
      <c r="AQ69" s="34">
        <f t="shared" si="16"/>
        <v>-17500000</v>
      </c>
      <c r="AR69" s="38"/>
      <c r="AS69" s="38"/>
      <c r="AT69" s="2"/>
      <c r="AU69" s="2"/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69"/>
        <v>0</v>
      </c>
      <c r="F70" s="4">
        <v>0</v>
      </c>
      <c r="G70" s="4">
        <v>0</v>
      </c>
      <c r="H70" s="4">
        <f t="shared" si="70"/>
        <v>0</v>
      </c>
      <c r="I70" s="4">
        <f>+'202401anual'!E111</f>
        <v>0</v>
      </c>
      <c r="J70" s="4">
        <v>0</v>
      </c>
      <c r="K70" s="4">
        <f t="shared" si="90"/>
        <v>0</v>
      </c>
      <c r="L70" s="4">
        <v>0</v>
      </c>
      <c r="M70" s="4"/>
      <c r="N70" s="4">
        <f t="shared" si="91"/>
        <v>0</v>
      </c>
      <c r="O70" s="4">
        <f>+'202401anual'!G111</f>
        <v>1150000</v>
      </c>
      <c r="P70" s="4">
        <v>0</v>
      </c>
      <c r="Q70" s="4">
        <f t="shared" si="92"/>
        <v>1150000</v>
      </c>
      <c r="R70" s="4">
        <v>0</v>
      </c>
      <c r="S70" s="4"/>
      <c r="T70" s="4">
        <f t="shared" si="93"/>
        <v>0</v>
      </c>
      <c r="U70" s="4">
        <v>0</v>
      </c>
      <c r="V70" s="4">
        <v>699800</v>
      </c>
      <c r="W70" s="4">
        <f t="shared" si="94"/>
        <v>-699800</v>
      </c>
      <c r="X70" s="4"/>
      <c r="Y70" s="4"/>
      <c r="Z70" s="4">
        <f t="shared" si="95"/>
        <v>0</v>
      </c>
      <c r="AA70" s="4">
        <f>+'202401anual'!K109</f>
        <v>0</v>
      </c>
      <c r="AB70" s="4"/>
      <c r="AC70" s="4">
        <f t="shared" si="96"/>
        <v>0</v>
      </c>
      <c r="AD70" s="4"/>
      <c r="AE70" s="4"/>
      <c r="AF70" s="4">
        <f t="shared" si="77"/>
        <v>0</v>
      </c>
      <c r="AG70" s="4">
        <f>+'202401anual'!M109</f>
        <v>0</v>
      </c>
      <c r="AH70" s="4"/>
      <c r="AI70" s="4">
        <f t="shared" si="78"/>
        <v>0</v>
      </c>
      <c r="AJ70" s="4">
        <f>+'202401anual'!N109</f>
        <v>0</v>
      </c>
      <c r="AK70" s="4"/>
      <c r="AL70" s="4">
        <f t="shared" si="79"/>
        <v>0</v>
      </c>
      <c r="AM70" s="4">
        <f t="shared" si="97"/>
        <v>1150000</v>
      </c>
      <c r="AN70" s="4">
        <f t="shared" si="98"/>
        <v>699800</v>
      </c>
      <c r="AO70" s="4">
        <f t="shared" si="99"/>
        <v>450200</v>
      </c>
      <c r="AP70" s="43">
        <f t="shared" si="100"/>
        <v>39.14782608695652</v>
      </c>
      <c r="AQ70" s="34">
        <f t="shared" si="16"/>
        <v>-20886000</v>
      </c>
      <c r="AR70" s="38"/>
      <c r="AS70" s="38"/>
      <c r="AT70" s="2"/>
      <c r="AU70" s="2"/>
    </row>
    <row r="71" spans="1:47" x14ac:dyDescent="0.25">
      <c r="A71" s="87" t="s">
        <v>198</v>
      </c>
      <c r="B71" s="4">
        <f>+'202401anual'!B112</f>
        <v>29264000</v>
      </c>
      <c r="C71" s="4">
        <v>0</v>
      </c>
      <c r="D71" s="4">
        <v>0</v>
      </c>
      <c r="E71" s="4">
        <f t="shared" si="69"/>
        <v>0</v>
      </c>
      <c r="F71" s="4">
        <v>2044000</v>
      </c>
      <c r="G71" s="4">
        <v>1359645.83</v>
      </c>
      <c r="H71" s="4">
        <f t="shared" si="70"/>
        <v>684354.16999999993</v>
      </c>
      <c r="I71" s="4">
        <f>+'202401anual'!E112</f>
        <v>5000000</v>
      </c>
      <c r="J71" s="4">
        <v>1040643</v>
      </c>
      <c r="K71" s="4">
        <f t="shared" si="90"/>
        <v>3959357</v>
      </c>
      <c r="L71" s="4">
        <v>6000000</v>
      </c>
      <c r="M71" s="4">
        <v>0</v>
      </c>
      <c r="N71" s="4">
        <f t="shared" si="91"/>
        <v>6000000</v>
      </c>
      <c r="O71" s="4">
        <f>+'202401anual'!G112</f>
        <v>2044000</v>
      </c>
      <c r="P71" s="4">
        <v>0</v>
      </c>
      <c r="Q71" s="4">
        <f t="shared" si="92"/>
        <v>2044000</v>
      </c>
      <c r="R71" s="4">
        <f>+'202401anual'!H112</f>
        <v>6000000</v>
      </c>
      <c r="S71" s="4">
        <v>3205563</v>
      </c>
      <c r="T71" s="4">
        <f t="shared" si="93"/>
        <v>2794437</v>
      </c>
      <c r="U71" s="4">
        <f>+'202401anual'!I112</f>
        <v>2044000</v>
      </c>
      <c r="V71" s="4">
        <f>402637+4010501.5</f>
        <v>4413138.5</v>
      </c>
      <c r="W71" s="4">
        <f t="shared" si="94"/>
        <v>-2369138.5</v>
      </c>
      <c r="X71" s="4"/>
      <c r="Y71" s="4"/>
      <c r="Z71" s="4">
        <f t="shared" si="95"/>
        <v>0</v>
      </c>
      <c r="AA71" s="4"/>
      <c r="AB71" s="4"/>
      <c r="AC71" s="4">
        <f t="shared" si="96"/>
        <v>0</v>
      </c>
      <c r="AD71" s="4"/>
      <c r="AE71" s="4"/>
      <c r="AF71" s="4">
        <f t="shared" si="77"/>
        <v>0</v>
      </c>
      <c r="AG71" s="4"/>
      <c r="AH71" s="4"/>
      <c r="AI71" s="4">
        <f t="shared" si="78"/>
        <v>0</v>
      </c>
      <c r="AJ71" s="4"/>
      <c r="AK71" s="4"/>
      <c r="AL71" s="4">
        <f t="shared" si="79"/>
        <v>0</v>
      </c>
      <c r="AM71" s="4">
        <f t="shared" si="97"/>
        <v>23132000</v>
      </c>
      <c r="AN71" s="4">
        <f t="shared" si="98"/>
        <v>10018990.33</v>
      </c>
      <c r="AO71" s="4">
        <f t="shared" si="99"/>
        <v>13113009.67</v>
      </c>
      <c r="AP71" s="43">
        <f t="shared" si="100"/>
        <v>56.68774714680962</v>
      </c>
      <c r="AQ71" s="34">
        <f t="shared" si="16"/>
        <v>-6132000</v>
      </c>
      <c r="AR71" s="38"/>
      <c r="AS71" s="38"/>
      <c r="AT71" s="2"/>
      <c r="AU71" s="2"/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69"/>
        <v>0</v>
      </c>
      <c r="F72" s="4">
        <v>0</v>
      </c>
      <c r="G72" s="4">
        <v>0</v>
      </c>
      <c r="H72" s="4">
        <f t="shared" si="70"/>
        <v>0</v>
      </c>
      <c r="I72" s="4"/>
      <c r="J72" s="4">
        <v>0</v>
      </c>
      <c r="K72" s="4">
        <f t="shared" si="90"/>
        <v>0</v>
      </c>
      <c r="L72" s="4"/>
      <c r="M72" s="4"/>
      <c r="N72" s="4">
        <f t="shared" si="91"/>
        <v>0</v>
      </c>
      <c r="O72" s="4"/>
      <c r="P72" s="4"/>
      <c r="Q72" s="4">
        <f t="shared" si="92"/>
        <v>0</v>
      </c>
      <c r="R72" s="4">
        <v>0</v>
      </c>
      <c r="S72" s="4"/>
      <c r="T72" s="4">
        <f t="shared" si="93"/>
        <v>0</v>
      </c>
      <c r="U72" s="4"/>
      <c r="V72" s="4"/>
      <c r="W72" s="4">
        <f t="shared" si="94"/>
        <v>0</v>
      </c>
      <c r="X72" s="4"/>
      <c r="Y72" s="4"/>
      <c r="Z72" s="4">
        <f t="shared" si="95"/>
        <v>0</v>
      </c>
      <c r="AA72" s="4">
        <v>0</v>
      </c>
      <c r="AB72" s="4"/>
      <c r="AC72" s="4">
        <f t="shared" si="96"/>
        <v>0</v>
      </c>
      <c r="AD72" s="4">
        <v>0</v>
      </c>
      <c r="AE72" s="4"/>
      <c r="AF72" s="4">
        <f t="shared" si="77"/>
        <v>0</v>
      </c>
      <c r="AG72" s="4">
        <v>0</v>
      </c>
      <c r="AH72" s="4"/>
      <c r="AI72" s="4">
        <f t="shared" si="78"/>
        <v>0</v>
      </c>
      <c r="AJ72" s="4">
        <v>0</v>
      </c>
      <c r="AK72" s="4"/>
      <c r="AL72" s="4">
        <f t="shared" si="79"/>
        <v>0</v>
      </c>
      <c r="AM72" s="4">
        <f t="shared" si="97"/>
        <v>0</v>
      </c>
      <c r="AN72" s="4">
        <f t="shared" si="98"/>
        <v>0</v>
      </c>
      <c r="AO72" s="4">
        <f t="shared" si="99"/>
        <v>0</v>
      </c>
      <c r="AP72" s="43" t="e">
        <f t="shared" si="100"/>
        <v>#DIV/0!</v>
      </c>
      <c r="AQ72" s="34">
        <f t="shared" si="16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69"/>
        <v>242100</v>
      </c>
      <c r="F73" s="4">
        <v>250000</v>
      </c>
      <c r="G73" s="4">
        <v>7900</v>
      </c>
      <c r="H73" s="4">
        <f t="shared" si="70"/>
        <v>242100</v>
      </c>
      <c r="I73" s="4">
        <f>+'202401anual'!E115</f>
        <v>250000</v>
      </c>
      <c r="J73" s="4">
        <v>0</v>
      </c>
      <c r="K73" s="4">
        <f t="shared" si="90"/>
        <v>250000</v>
      </c>
      <c r="L73" s="4">
        <f>+'202401anual'!F115</f>
        <v>250000</v>
      </c>
      <c r="M73" s="4">
        <v>2395970</v>
      </c>
      <c r="N73" s="4">
        <f t="shared" si="91"/>
        <v>-2145970</v>
      </c>
      <c r="O73" s="4">
        <f>+'202401anual'!G115</f>
        <v>250000</v>
      </c>
      <c r="P73" s="4">
        <v>216900</v>
      </c>
      <c r="Q73" s="4">
        <f t="shared" si="92"/>
        <v>33100</v>
      </c>
      <c r="R73" s="4">
        <f>+'202401anual'!H115</f>
        <v>250000</v>
      </c>
      <c r="S73" s="4"/>
      <c r="T73" s="4">
        <f t="shared" si="93"/>
        <v>250000</v>
      </c>
      <c r="U73" s="4">
        <f>+'202401anual'!I115</f>
        <v>250000</v>
      </c>
      <c r="V73" s="4">
        <v>49700</v>
      </c>
      <c r="W73" s="4">
        <f t="shared" si="94"/>
        <v>200300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7"/>
        <v>1750000</v>
      </c>
      <c r="AN73" s="4">
        <f t="shared" si="98"/>
        <v>2678370</v>
      </c>
      <c r="AO73" s="4">
        <f t="shared" si="99"/>
        <v>-928370</v>
      </c>
      <c r="AP73" s="43">
        <f t="shared" si="100"/>
        <v>-53.049714285714288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69"/>
        <v>0</v>
      </c>
      <c r="F74" s="4">
        <v>0</v>
      </c>
      <c r="G74" s="4">
        <v>0</v>
      </c>
      <c r="H74" s="4">
        <f t="shared" si="70"/>
        <v>0</v>
      </c>
      <c r="I74" s="4">
        <f>+'202401anual'!E116</f>
        <v>4000000</v>
      </c>
      <c r="J74" s="4">
        <v>0</v>
      </c>
      <c r="K74" s="4">
        <f t="shared" si="90"/>
        <v>4000000</v>
      </c>
      <c r="L74" s="4">
        <f>+'202401anual'!F116</f>
        <v>8000000</v>
      </c>
      <c r="M74" s="4"/>
      <c r="N74" s="4">
        <f t="shared" si="91"/>
        <v>8000000</v>
      </c>
      <c r="O74" s="4">
        <f>+'202401anual'!G116</f>
        <v>20000000</v>
      </c>
      <c r="P74" s="4">
        <v>0</v>
      </c>
      <c r="Q74" s="4">
        <f t="shared" si="92"/>
        <v>20000000</v>
      </c>
      <c r="R74" s="4">
        <f>+'202401anual'!H116</f>
        <v>8000000</v>
      </c>
      <c r="S74" s="4"/>
      <c r="T74" s="4">
        <f t="shared" si="93"/>
        <v>8000000</v>
      </c>
      <c r="U74" s="4">
        <f>+'202401anual'!I116</f>
        <v>8000000</v>
      </c>
      <c r="V74" s="4">
        <v>5839300</v>
      </c>
      <c r="W74" s="4">
        <f t="shared" si="94"/>
        <v>2160700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7"/>
        <v>48000000</v>
      </c>
      <c r="AN74" s="4">
        <f t="shared" si="98"/>
        <v>5839300</v>
      </c>
      <c r="AO74" s="4">
        <f t="shared" si="99"/>
        <v>42160700</v>
      </c>
      <c r="AP74" s="43">
        <f t="shared" si="100"/>
        <v>87.834791666666661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69"/>
        <v>0</v>
      </c>
      <c r="F75" s="4">
        <v>0</v>
      </c>
      <c r="G75" s="4">
        <v>0</v>
      </c>
      <c r="H75" s="4">
        <f t="shared" si="70"/>
        <v>0</v>
      </c>
      <c r="I75" s="4">
        <f>+'202401anual'!E117</f>
        <v>0</v>
      </c>
      <c r="J75" s="4">
        <v>0</v>
      </c>
      <c r="K75" s="4">
        <f t="shared" si="90"/>
        <v>0</v>
      </c>
      <c r="L75" s="4">
        <f>+'202401anual'!F117</f>
        <v>0</v>
      </c>
      <c r="M75" s="4"/>
      <c r="N75" s="4">
        <f t="shared" si="91"/>
        <v>0</v>
      </c>
      <c r="O75" s="4">
        <f>+'202401anual'!G117</f>
        <v>7000000</v>
      </c>
      <c r="P75" s="4">
        <v>0</v>
      </c>
      <c r="Q75" s="4">
        <f t="shared" si="92"/>
        <v>7000000</v>
      </c>
      <c r="R75" s="4">
        <v>0</v>
      </c>
      <c r="S75" s="4"/>
      <c r="T75" s="4">
        <f t="shared" si="93"/>
        <v>0</v>
      </c>
      <c r="U75" s="4">
        <v>0</v>
      </c>
      <c r="V75" s="4">
        <v>0</v>
      </c>
      <c r="W75" s="4">
        <f t="shared" si="94"/>
        <v>0</v>
      </c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7"/>
        <v>7000000</v>
      </c>
      <c r="AN75" s="4">
        <f t="shared" si="98"/>
        <v>0</v>
      </c>
      <c r="AO75" s="4">
        <f t="shared" si="99"/>
        <v>7000000</v>
      </c>
      <c r="AP75" s="43">
        <f t="shared" si="100"/>
        <v>100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69"/>
        <v>4833334</v>
      </c>
      <c r="F76" s="4">
        <v>0</v>
      </c>
      <c r="G76" s="4">
        <v>0</v>
      </c>
      <c r="H76" s="4">
        <f t="shared" si="70"/>
        <v>0</v>
      </c>
      <c r="I76" s="4">
        <f>+'202401anual'!E119</f>
        <v>0</v>
      </c>
      <c r="J76" s="4">
        <v>0</v>
      </c>
      <c r="K76" s="4">
        <f t="shared" si="90"/>
        <v>0</v>
      </c>
      <c r="L76" s="4">
        <f>2000000+2660000</f>
        <v>4660000</v>
      </c>
      <c r="M76" s="4">
        <v>1625000</v>
      </c>
      <c r="N76" s="4">
        <f t="shared" si="91"/>
        <v>3035000</v>
      </c>
      <c r="O76" s="4">
        <f>+'202401anual'!G119</f>
        <v>0</v>
      </c>
      <c r="P76" s="4">
        <v>0</v>
      </c>
      <c r="Q76" s="4">
        <f t="shared" si="92"/>
        <v>0</v>
      </c>
      <c r="R76" s="4">
        <v>0</v>
      </c>
      <c r="S76" s="4"/>
      <c r="T76" s="4">
        <f t="shared" si="93"/>
        <v>0</v>
      </c>
      <c r="U76" s="4">
        <v>0</v>
      </c>
      <c r="V76" s="4">
        <v>0</v>
      </c>
      <c r="W76" s="4">
        <f t="shared" si="94"/>
        <v>0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7"/>
        <v>11660000</v>
      </c>
      <c r="AN76" s="4">
        <f t="shared" si="98"/>
        <v>3791666</v>
      </c>
      <c r="AO76" s="4">
        <f t="shared" si="99"/>
        <v>7868334</v>
      </c>
      <c r="AP76" s="43">
        <f t="shared" si="100"/>
        <v>67.481423670668946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69"/>
        <v>0</v>
      </c>
      <c r="F77" s="4">
        <v>0</v>
      </c>
      <c r="G77" s="4">
        <v>0</v>
      </c>
      <c r="H77" s="4">
        <f t="shared" si="70"/>
        <v>0</v>
      </c>
      <c r="I77" s="4">
        <f>+'202401anual'!E131</f>
        <v>982500</v>
      </c>
      <c r="J77" s="4">
        <v>0</v>
      </c>
      <c r="K77" s="4">
        <f t="shared" si="90"/>
        <v>982500</v>
      </c>
      <c r="L77" s="4">
        <v>1093000</v>
      </c>
      <c r="M77" s="4"/>
      <c r="N77" s="4">
        <f t="shared" si="91"/>
        <v>1093000</v>
      </c>
      <c r="O77" s="4">
        <f>+'202401anual'!G131</f>
        <v>1091500</v>
      </c>
      <c r="P77" s="4">
        <v>0</v>
      </c>
      <c r="Q77" s="4">
        <f t="shared" si="92"/>
        <v>1091500</v>
      </c>
      <c r="R77" s="4">
        <f>+'202401anual'!H94</f>
        <v>3428500</v>
      </c>
      <c r="S77" s="4"/>
      <c r="T77" s="4">
        <f t="shared" si="93"/>
        <v>3428500</v>
      </c>
      <c r="U77" s="4">
        <f>+'202401anual'!I131</f>
        <v>1091500</v>
      </c>
      <c r="V77" s="4">
        <f>1518300+206000</f>
        <v>1724300</v>
      </c>
      <c r="W77" s="4">
        <f t="shared" si="94"/>
        <v>-632800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7"/>
        <v>7687000</v>
      </c>
      <c r="AN77" s="4">
        <f t="shared" si="98"/>
        <v>1724300</v>
      </c>
      <c r="AO77" s="4">
        <f t="shared" si="99"/>
        <v>5962700</v>
      </c>
      <c r="AP77" s="43">
        <f t="shared" si="100"/>
        <v>77.568622349421105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69"/>
        <v>-1711400</v>
      </c>
      <c r="F78" s="4">
        <v>4000000</v>
      </c>
      <c r="G78" s="4">
        <v>6387300</v>
      </c>
      <c r="H78" s="4">
        <f t="shared" si="70"/>
        <v>-2387300</v>
      </c>
      <c r="I78" s="4">
        <f>+'202401anual'!E133</f>
        <v>4000000</v>
      </c>
      <c r="J78" s="4">
        <v>8787600</v>
      </c>
      <c r="K78" s="4">
        <f t="shared" si="90"/>
        <v>-4787600</v>
      </c>
      <c r="L78" s="4">
        <f>+'202401anual'!F133</f>
        <v>4000000</v>
      </c>
      <c r="M78" s="4">
        <v>10735300</v>
      </c>
      <c r="N78" s="4">
        <f t="shared" si="91"/>
        <v>-6735300</v>
      </c>
      <c r="O78" s="4">
        <f>+'202401anual'!G133</f>
        <v>4000000</v>
      </c>
      <c r="P78" s="4">
        <v>7739760</v>
      </c>
      <c r="Q78" s="4">
        <f t="shared" si="92"/>
        <v>-3739760</v>
      </c>
      <c r="R78" s="4">
        <f>+'202401anual'!H133</f>
        <v>4000000</v>
      </c>
      <c r="S78" s="4">
        <v>3512900</v>
      </c>
      <c r="T78" s="4">
        <f t="shared" si="93"/>
        <v>487100</v>
      </c>
      <c r="U78" s="4">
        <f>+'202401anual'!I133</f>
        <v>4000000</v>
      </c>
      <c r="V78" s="4">
        <v>2405700</v>
      </c>
      <c r="W78" s="4">
        <f t="shared" si="94"/>
        <v>1594300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7"/>
        <v>28000000</v>
      </c>
      <c r="AN78" s="4">
        <f t="shared" si="98"/>
        <v>45279960</v>
      </c>
      <c r="AO78" s="4">
        <f t="shared" si="99"/>
        <v>-17279960</v>
      </c>
      <c r="AP78" s="43">
        <f t="shared" si="100"/>
        <v>-61.714142857142861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69"/>
        <v>986490.08333333349</v>
      </c>
      <c r="F79" s="4">
        <v>3254372.0833333335</v>
      </c>
      <c r="G79" s="4">
        <v>2447184</v>
      </c>
      <c r="H79" s="4">
        <f t="shared" si="70"/>
        <v>807188.08333333349</v>
      </c>
      <c r="I79" s="4">
        <f>+'202401anual'!E134</f>
        <v>3254372.0833333335</v>
      </c>
      <c r="J79" s="4">
        <v>0</v>
      </c>
      <c r="K79" s="4">
        <f t="shared" si="90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91"/>
        <v>491374.08333333349</v>
      </c>
      <c r="O79" s="4">
        <f>+'202401anual'!G134</f>
        <v>3254372.0833333335</v>
      </c>
      <c r="P79" s="4">
        <v>2284739</v>
      </c>
      <c r="Q79" s="4">
        <f t="shared" si="92"/>
        <v>969633.08333333349</v>
      </c>
      <c r="R79" s="4">
        <f>+'202401anual'!H134</f>
        <v>3254372.0833333335</v>
      </c>
      <c r="S79" s="4"/>
      <c r="T79" s="4">
        <f t="shared" si="93"/>
        <v>3254372.0833333335</v>
      </c>
      <c r="U79" s="4">
        <f>+'202401anual'!I134</f>
        <v>3254372.0833333335</v>
      </c>
      <c r="V79" s="4">
        <v>1982040</v>
      </c>
      <c r="W79" s="4">
        <f t="shared" si="94"/>
        <v>1272332.0833333335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7"/>
        <v>22780604.583333332</v>
      </c>
      <c r="AN79" s="4">
        <f t="shared" si="98"/>
        <v>11744843</v>
      </c>
      <c r="AO79" s="4">
        <f t="shared" si="99"/>
        <v>11035761.583333332</v>
      </c>
      <c r="AP79" s="43">
        <f t="shared" si="100"/>
        <v>48.443672962952341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69"/>
        <v>0</v>
      </c>
      <c r="F80" s="4">
        <v>6000000</v>
      </c>
      <c r="G80" s="4">
        <v>0</v>
      </c>
      <c r="H80" s="4">
        <f t="shared" si="70"/>
        <v>6000000</v>
      </c>
      <c r="I80" s="4">
        <f>+'202401anual'!E136</f>
        <v>0</v>
      </c>
      <c r="J80" s="4">
        <v>0</v>
      </c>
      <c r="K80" s="4">
        <f t="shared" si="90"/>
        <v>0</v>
      </c>
      <c r="L80" s="4">
        <f>+'202401anual'!F136</f>
        <v>0</v>
      </c>
      <c r="M80" s="4"/>
      <c r="N80" s="4">
        <f t="shared" si="91"/>
        <v>0</v>
      </c>
      <c r="O80" s="4">
        <f>+'202401anual'!G136</f>
        <v>0</v>
      </c>
      <c r="P80" s="4">
        <v>0</v>
      </c>
      <c r="Q80" s="4">
        <f t="shared" si="92"/>
        <v>0</v>
      </c>
      <c r="R80" s="4">
        <f>+'202401anual'!H136</f>
        <v>3000000</v>
      </c>
      <c r="S80" s="4"/>
      <c r="T80" s="4">
        <f t="shared" si="93"/>
        <v>3000000</v>
      </c>
      <c r="U80" s="4">
        <f>+'202401anual'!I136</f>
        <v>10000000</v>
      </c>
      <c r="V80" s="4">
        <v>0</v>
      </c>
      <c r="W80" s="4">
        <f t="shared" si="94"/>
        <v>10000000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7"/>
        <v>19000000</v>
      </c>
      <c r="AN80" s="4">
        <f t="shared" si="98"/>
        <v>0</v>
      </c>
      <c r="AO80" s="4">
        <f t="shared" si="99"/>
        <v>19000000</v>
      </c>
      <c r="AP80" s="43">
        <f t="shared" si="100"/>
        <v>100</v>
      </c>
      <c r="AQ80" s="34"/>
      <c r="AR80" s="38"/>
      <c r="AS80" s="38"/>
      <c r="AT80" s="2"/>
      <c r="AU80" s="2"/>
    </row>
    <row r="81" spans="1:47" ht="15" hidden="1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69"/>
        <v>0</v>
      </c>
      <c r="F81" s="4">
        <v>0</v>
      </c>
      <c r="G81" s="4">
        <v>0</v>
      </c>
      <c r="H81" s="4">
        <f t="shared" si="70"/>
        <v>0</v>
      </c>
      <c r="I81" s="4">
        <f>+'202401anual'!E137</f>
        <v>0</v>
      </c>
      <c r="J81" s="4">
        <v>0</v>
      </c>
      <c r="K81" s="4">
        <f t="shared" si="90"/>
        <v>0</v>
      </c>
      <c r="L81" s="4">
        <f>+'202401anual'!F137</f>
        <v>0</v>
      </c>
      <c r="M81" s="4"/>
      <c r="N81" s="4">
        <f t="shared" si="91"/>
        <v>0</v>
      </c>
      <c r="O81" s="4">
        <f>+'202401anual'!G137</f>
        <v>0</v>
      </c>
      <c r="P81" s="4">
        <v>0</v>
      </c>
      <c r="Q81" s="4">
        <f t="shared" si="92"/>
        <v>0</v>
      </c>
      <c r="R81" s="4">
        <f>+'202401anual'!H111</f>
        <v>0</v>
      </c>
      <c r="S81" s="4"/>
      <c r="T81" s="4">
        <f t="shared" si="93"/>
        <v>0</v>
      </c>
      <c r="U81" s="4"/>
      <c r="V81" s="4"/>
      <c r="W81" s="4">
        <f t="shared" si="94"/>
        <v>0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7"/>
        <v>0</v>
      </c>
      <c r="AN81" s="4">
        <f t="shared" si="98"/>
        <v>0</v>
      </c>
      <c r="AO81" s="4">
        <f t="shared" si="99"/>
        <v>0</v>
      </c>
      <c r="AP81" s="43" t="e">
        <f t="shared" si="100"/>
        <v>#DIV/0!</v>
      </c>
      <c r="AQ81" s="34"/>
      <c r="AR81" s="38"/>
      <c r="AS81" s="38"/>
      <c r="AT81" s="2"/>
      <c r="AU81" s="2"/>
    </row>
    <row r="82" spans="1:47" ht="15" customHeight="1" x14ac:dyDescent="0.25">
      <c r="A82" s="88" t="s">
        <v>193</v>
      </c>
      <c r="B82" s="4">
        <v>137548000</v>
      </c>
      <c r="C82" s="4">
        <v>8200000</v>
      </c>
      <c r="D82" s="4">
        <v>4774760</v>
      </c>
      <c r="E82" s="4">
        <f t="shared" si="69"/>
        <v>3425240</v>
      </c>
      <c r="F82" s="4">
        <v>8200000</v>
      </c>
      <c r="G82" s="4">
        <v>8012725</v>
      </c>
      <c r="H82" s="4">
        <f t="shared" si="70"/>
        <v>187275</v>
      </c>
      <c r="I82" s="4">
        <f>+'202401anual'!E138-27000000</f>
        <v>774000</v>
      </c>
      <c r="J82" s="4">
        <v>463094</v>
      </c>
      <c r="K82" s="4">
        <f t="shared" si="90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91"/>
        <v>23288185</v>
      </c>
      <c r="O82" s="4">
        <f>+'202401anual'!G138</f>
        <v>8200000</v>
      </c>
      <c r="P82" s="4">
        <v>459497</v>
      </c>
      <c r="Q82" s="4">
        <f t="shared" si="92"/>
        <v>7740503</v>
      </c>
      <c r="R82" s="4">
        <f>+'202401anual'!H138</f>
        <v>8200000</v>
      </c>
      <c r="S82" s="4">
        <f>863111+541441+2850956</f>
        <v>4255508</v>
      </c>
      <c r="T82" s="4">
        <f t="shared" si="93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94"/>
        <v>-2155282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7"/>
        <v>69548000</v>
      </c>
      <c r="AN82" s="4">
        <f t="shared" si="98"/>
        <v>32806681</v>
      </c>
      <c r="AO82" s="4">
        <f t="shared" si="99"/>
        <v>36741319</v>
      </c>
      <c r="AP82" s="43">
        <f t="shared" si="100"/>
        <v>52.828721170989823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69"/>
        <v>500000</v>
      </c>
      <c r="F83" s="4">
        <v>500000</v>
      </c>
      <c r="G83" s="4">
        <v>0</v>
      </c>
      <c r="H83" s="4">
        <f t="shared" si="70"/>
        <v>500000</v>
      </c>
      <c r="I83" s="4">
        <f>+'202401anual'!E139</f>
        <v>500000</v>
      </c>
      <c r="J83" s="4">
        <v>0</v>
      </c>
      <c r="K83" s="4">
        <f t="shared" si="90"/>
        <v>500000</v>
      </c>
      <c r="L83" s="4">
        <f>+'202401anual'!F139</f>
        <v>500000</v>
      </c>
      <c r="M83" s="4">
        <v>109000</v>
      </c>
      <c r="N83" s="4">
        <f t="shared" si="91"/>
        <v>391000</v>
      </c>
      <c r="O83" s="4">
        <f>+'202401anual'!G139</f>
        <v>500000</v>
      </c>
      <c r="P83" s="4">
        <v>0</v>
      </c>
      <c r="Q83" s="4">
        <f t="shared" si="92"/>
        <v>500000</v>
      </c>
      <c r="R83" s="4">
        <f>+'202401anual'!H139</f>
        <v>500000</v>
      </c>
      <c r="S83" s="4">
        <v>1795000</v>
      </c>
      <c r="T83" s="4">
        <f t="shared" si="93"/>
        <v>-1295000</v>
      </c>
      <c r="U83" s="4">
        <f>+'202401anual'!I139</f>
        <v>500000</v>
      </c>
      <c r="V83" s="4">
        <v>0</v>
      </c>
      <c r="W83" s="4">
        <f t="shared" si="94"/>
        <v>500000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7"/>
        <v>3500000</v>
      </c>
      <c r="AN83" s="4">
        <f t="shared" si="98"/>
        <v>1904000</v>
      </c>
      <c r="AO83" s="4">
        <f t="shared" si="99"/>
        <v>1596000</v>
      </c>
      <c r="AP83" s="43">
        <f t="shared" si="100"/>
        <v>45.6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69"/>
        <v>1508333.3333333333</v>
      </c>
      <c r="F84" s="4">
        <v>1508333.3333333333</v>
      </c>
      <c r="G84" s="4">
        <v>0</v>
      </c>
      <c r="H84" s="4">
        <f t="shared" si="70"/>
        <v>1508333.3333333333</v>
      </c>
      <c r="I84" s="4">
        <f>+'202401anual'!E140</f>
        <v>1508333.3333333333</v>
      </c>
      <c r="J84" s="4">
        <v>0</v>
      </c>
      <c r="K84" s="4">
        <f t="shared" si="90"/>
        <v>1508333.3333333333</v>
      </c>
      <c r="L84" s="4">
        <f>+'202401anual'!F140</f>
        <v>1508333.3333333333</v>
      </c>
      <c r="M84" s="4"/>
      <c r="N84" s="4">
        <f t="shared" si="91"/>
        <v>1508333.3333333333</v>
      </c>
      <c r="O84" s="4">
        <f>+'202401anual'!G140</f>
        <v>1508333.3333333333</v>
      </c>
      <c r="P84" s="4">
        <v>17075000</v>
      </c>
      <c r="Q84" s="4">
        <f t="shared" si="92"/>
        <v>-15566666.666666666</v>
      </c>
      <c r="R84" s="4">
        <f>+'202401anual'!H140</f>
        <v>1508333.3333333333</v>
      </c>
      <c r="S84" s="4"/>
      <c r="T84" s="4">
        <f t="shared" si="93"/>
        <v>1508333.3333333333</v>
      </c>
      <c r="U84" s="4">
        <f>+'202401anual'!I140</f>
        <v>1508333.3333333333</v>
      </c>
      <c r="V84" s="4">
        <v>0</v>
      </c>
      <c r="W84" s="4">
        <f t="shared" si="94"/>
        <v>1508333.3333333333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7"/>
        <v>10558333.333333334</v>
      </c>
      <c r="AN84" s="4">
        <f t="shared" si="98"/>
        <v>17075000</v>
      </c>
      <c r="AO84" s="4">
        <f t="shared" si="99"/>
        <v>-6516666.666666666</v>
      </c>
      <c r="AP84" s="43">
        <f t="shared" si="100"/>
        <v>-61.720599842146797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69"/>
        <v>-136000</v>
      </c>
      <c r="F85" s="4">
        <v>2464000</v>
      </c>
      <c r="G85" s="4">
        <v>2600000</v>
      </c>
      <c r="H85" s="4">
        <f t="shared" si="70"/>
        <v>-136000</v>
      </c>
      <c r="I85" s="4">
        <f>+'202401anual'!E141</f>
        <v>2464000</v>
      </c>
      <c r="J85" s="4">
        <v>2600000</v>
      </c>
      <c r="K85" s="4">
        <f t="shared" si="90"/>
        <v>-136000</v>
      </c>
      <c r="L85" s="4">
        <f>+'202401anual'!F141</f>
        <v>2464000</v>
      </c>
      <c r="M85" s="4">
        <v>2600000</v>
      </c>
      <c r="N85" s="4">
        <f t="shared" si="91"/>
        <v>-136000</v>
      </c>
      <c r="O85" s="4">
        <f>+'202401anual'!G141</f>
        <v>2464000</v>
      </c>
      <c r="P85" s="4">
        <v>2600000</v>
      </c>
      <c r="Q85" s="4">
        <f t="shared" si="92"/>
        <v>-136000</v>
      </c>
      <c r="R85" s="4">
        <f>+'202401anual'!H141</f>
        <v>2464000</v>
      </c>
      <c r="S85" s="4">
        <v>2600000</v>
      </c>
      <c r="T85" s="4">
        <f t="shared" si="93"/>
        <v>-136000</v>
      </c>
      <c r="U85" s="4">
        <f>+'202401anual'!I141</f>
        <v>2464000</v>
      </c>
      <c r="V85" s="4">
        <v>2600000</v>
      </c>
      <c r="W85" s="4">
        <f t="shared" si="94"/>
        <v>-136000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7"/>
        <v>17248000</v>
      </c>
      <c r="AN85" s="4">
        <f t="shared" si="98"/>
        <v>18200000</v>
      </c>
      <c r="AO85" s="4">
        <f t="shared" si="99"/>
        <v>-952000</v>
      </c>
      <c r="AP85" s="43">
        <f t="shared" si="100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69"/>
        <v>19243067</v>
      </c>
      <c r="F86" s="4">
        <v>63728000</v>
      </c>
      <c r="G86" s="4">
        <v>15600000</v>
      </c>
      <c r="H86" s="4">
        <f t="shared" si="70"/>
        <v>48128000</v>
      </c>
      <c r="I86" s="4">
        <f>+'202401anual'!E142</f>
        <v>9454400</v>
      </c>
      <c r="J86" s="4">
        <v>15600000</v>
      </c>
      <c r="K86" s="4">
        <f t="shared" si="90"/>
        <v>-6145600</v>
      </c>
      <c r="L86" s="4">
        <v>16250000</v>
      </c>
      <c r="M86" s="4">
        <v>15600000</v>
      </c>
      <c r="N86" s="4">
        <f t="shared" si="91"/>
        <v>650000</v>
      </c>
      <c r="O86" s="4">
        <f>+'202401anual'!G142</f>
        <v>16000000</v>
      </c>
      <c r="P86" s="4">
        <v>15600000</v>
      </c>
      <c r="Q86" s="4">
        <f t="shared" si="92"/>
        <v>400000</v>
      </c>
      <c r="R86" s="4">
        <f>+'202401anual'!H142</f>
        <v>16000000</v>
      </c>
      <c r="S86" s="4">
        <v>15600000</v>
      </c>
      <c r="T86" s="4">
        <f t="shared" si="93"/>
        <v>400000</v>
      </c>
      <c r="U86" s="4">
        <f>+'202401anual'!I142</f>
        <v>16000000</v>
      </c>
      <c r="V86" s="4">
        <v>15600000</v>
      </c>
      <c r="W86" s="4">
        <f t="shared" si="94"/>
        <v>400000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7"/>
        <v>201160400</v>
      </c>
      <c r="AN86" s="4">
        <f t="shared" si="98"/>
        <v>138084933</v>
      </c>
      <c r="AO86" s="4">
        <f t="shared" si="99"/>
        <v>63075467</v>
      </c>
      <c r="AP86" s="43">
        <f t="shared" si="100"/>
        <v>31.355807107164235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187</v>
      </c>
      <c r="B87" s="8">
        <f>SUM(B52:B86)</f>
        <v>1778991416.1100512</v>
      </c>
      <c r="C87" s="8">
        <f t="shared" ref="C87:AO87" si="101">SUM(C52:C86)</f>
        <v>152504284.67583761</v>
      </c>
      <c r="D87" s="8">
        <f>SUM(D52:D86)</f>
        <v>113011108.707</v>
      </c>
      <c r="E87" s="8">
        <f t="shared" si="101"/>
        <v>39493175.968837604</v>
      </c>
      <c r="F87" s="8">
        <f>SUM(F52:F86)</f>
        <v>165458284.67583761</v>
      </c>
      <c r="G87" s="8">
        <f t="shared" si="101"/>
        <v>91823885.829999998</v>
      </c>
      <c r="H87" s="8">
        <f t="shared" si="101"/>
        <v>73634398.845837608</v>
      </c>
      <c r="I87" s="8">
        <f t="shared" si="101"/>
        <v>118428291.67583761</v>
      </c>
      <c r="J87" s="8">
        <f t="shared" si="101"/>
        <v>80767480.019999996</v>
      </c>
      <c r="K87" s="8">
        <f t="shared" si="101"/>
        <v>37660811.655837618</v>
      </c>
      <c r="L87" s="8">
        <f t="shared" si="101"/>
        <v>220204084.67583764</v>
      </c>
      <c r="M87" s="8">
        <f t="shared" si="101"/>
        <v>123398968</v>
      </c>
      <c r="N87" s="8">
        <f t="shared" si="101"/>
        <v>96805116.675837606</v>
      </c>
      <c r="O87" s="8">
        <f t="shared" si="101"/>
        <v>155562884.67583761</v>
      </c>
      <c r="P87" s="8">
        <f t="shared" si="101"/>
        <v>118836292</v>
      </c>
      <c r="Q87" s="8">
        <f t="shared" si="101"/>
        <v>36726592.675837614</v>
      </c>
      <c r="R87" s="8">
        <f t="shared" si="101"/>
        <v>151746284.67583761</v>
      </c>
      <c r="S87" s="8">
        <f t="shared" si="101"/>
        <v>128133676.2815</v>
      </c>
      <c r="T87" s="8">
        <f>SUM(T52:T86)</f>
        <v>23612608.394337606</v>
      </c>
      <c r="U87" s="8">
        <f t="shared" si="101"/>
        <v>151284084.67583761</v>
      </c>
      <c r="V87" s="8">
        <f t="shared" si="101"/>
        <v>111866002.5</v>
      </c>
      <c r="W87" s="8">
        <f t="shared" si="101"/>
        <v>39418082.175837614</v>
      </c>
      <c r="X87" s="8">
        <f t="shared" si="101"/>
        <v>0</v>
      </c>
      <c r="Y87" s="8">
        <f t="shared" si="101"/>
        <v>0</v>
      </c>
      <c r="Z87" s="8">
        <f t="shared" si="101"/>
        <v>0</v>
      </c>
      <c r="AA87" s="8">
        <f t="shared" si="101"/>
        <v>0</v>
      </c>
      <c r="AB87" s="8">
        <f t="shared" si="101"/>
        <v>0</v>
      </c>
      <c r="AC87" s="8">
        <f t="shared" si="101"/>
        <v>0</v>
      </c>
      <c r="AD87" s="8">
        <f t="shared" si="101"/>
        <v>0</v>
      </c>
      <c r="AE87" s="8">
        <f t="shared" si="101"/>
        <v>0</v>
      </c>
      <c r="AF87" s="8">
        <f t="shared" si="101"/>
        <v>0</v>
      </c>
      <c r="AG87" s="8">
        <f t="shared" si="101"/>
        <v>0</v>
      </c>
      <c r="AH87" s="8">
        <f t="shared" si="101"/>
        <v>0</v>
      </c>
      <c r="AI87" s="8">
        <f t="shared" si="101"/>
        <v>0</v>
      </c>
      <c r="AJ87" s="8">
        <f t="shared" si="101"/>
        <v>0</v>
      </c>
      <c r="AK87" s="8">
        <f t="shared" si="101"/>
        <v>0</v>
      </c>
      <c r="AL87" s="8">
        <f t="shared" si="101"/>
        <v>0</v>
      </c>
      <c r="AM87" s="8">
        <f t="shared" si="101"/>
        <v>1115188199.7308633</v>
      </c>
      <c r="AN87" s="8">
        <f t="shared" si="101"/>
        <v>767837413.33850002</v>
      </c>
      <c r="AO87" s="8">
        <f t="shared" si="101"/>
        <v>347350786.39236319</v>
      </c>
      <c r="AP87" s="31">
        <f>+AO87/AM87</f>
        <v>0.31147279578118919</v>
      </c>
      <c r="AQ87" s="34"/>
      <c r="AR87" s="38"/>
      <c r="AS87" s="38"/>
      <c r="AT87" s="2"/>
      <c r="AU87" s="2"/>
    </row>
    <row r="88" spans="1:47" ht="15" hidden="1" customHeight="1" x14ac:dyDescent="0.25">
      <c r="A88" s="5"/>
      <c r="B88" s="7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7"/>
        <v>0</v>
      </c>
      <c r="AN88" s="4"/>
      <c r="AO88" s="4"/>
      <c r="AP88" s="43"/>
      <c r="AQ88" s="34"/>
      <c r="AR88" s="38"/>
      <c r="AS88" s="38"/>
      <c r="AT88" s="2"/>
      <c r="AU88" s="2"/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69"/>
        <v>0</v>
      </c>
      <c r="F89" s="4">
        <v>0</v>
      </c>
      <c r="G89" s="4">
        <v>0</v>
      </c>
      <c r="H89" s="4">
        <f t="shared" si="70"/>
        <v>0</v>
      </c>
      <c r="I89" s="4">
        <v>0</v>
      </c>
      <c r="J89" s="4">
        <v>0</v>
      </c>
      <c r="K89" s="4">
        <f t="shared" si="90"/>
        <v>0</v>
      </c>
      <c r="L89" s="4">
        <f>+'202401anual'!F122-2150000</f>
        <v>7850000</v>
      </c>
      <c r="M89" s="4">
        <v>0</v>
      </c>
      <c r="N89" s="4">
        <f t="shared" si="91"/>
        <v>7850000</v>
      </c>
      <c r="O89" s="4">
        <f>+'202401anual'!G122</f>
        <v>0</v>
      </c>
      <c r="P89" s="4">
        <v>0</v>
      </c>
      <c r="Q89" s="4">
        <f t="shared" si="92"/>
        <v>0</v>
      </c>
      <c r="R89" s="4">
        <f>+'202401anual'!H122</f>
        <v>20000000</v>
      </c>
      <c r="S89" s="4">
        <v>0</v>
      </c>
      <c r="T89" s="4">
        <f t="shared" si="93"/>
        <v>20000000</v>
      </c>
      <c r="U89" s="4">
        <v>0</v>
      </c>
      <c r="V89" s="4">
        <v>0</v>
      </c>
      <c r="W89" s="4">
        <f t="shared" si="94"/>
        <v>0</v>
      </c>
      <c r="X89" s="4"/>
      <c r="Y89" s="4"/>
      <c r="Z89" s="4">
        <f t="shared" si="95"/>
        <v>0</v>
      </c>
      <c r="AA89" s="4">
        <f>+'202401anual'!K111</f>
        <v>0</v>
      </c>
      <c r="AB89" s="4"/>
      <c r="AC89" s="4">
        <f t="shared" si="96"/>
        <v>0</v>
      </c>
      <c r="AD89" s="4">
        <f>+'202401anual'!L111</f>
        <v>0</v>
      </c>
      <c r="AE89" s="4"/>
      <c r="AF89" s="4">
        <f t="shared" si="77"/>
        <v>0</v>
      </c>
      <c r="AG89" s="4"/>
      <c r="AH89" s="4"/>
      <c r="AI89" s="4">
        <f t="shared" si="78"/>
        <v>0</v>
      </c>
      <c r="AJ89" s="4"/>
      <c r="AK89" s="4"/>
      <c r="AL89" s="4">
        <f t="shared" si="79"/>
        <v>0</v>
      </c>
      <c r="AM89" s="4">
        <f t="shared" si="97"/>
        <v>27850000</v>
      </c>
      <c r="AN89" s="4">
        <f t="shared" si="98"/>
        <v>0</v>
      </c>
      <c r="AO89" s="4">
        <f t="shared" ref="AO89:AO97" si="102">+AM89-AN89</f>
        <v>27850000</v>
      </c>
      <c r="AP89" s="43">
        <f t="shared" si="100"/>
        <v>100</v>
      </c>
      <c r="AQ89" s="34">
        <f t="shared" si="16"/>
        <v>-2150000</v>
      </c>
      <c r="AR89" s="38"/>
      <c r="AS89" s="38"/>
      <c r="AT89" s="2"/>
      <c r="AU89" s="2"/>
    </row>
    <row r="90" spans="1:47" x14ac:dyDescent="0.25">
      <c r="A90" s="5" t="str">
        <f>+'202401anual'!A123</f>
        <v>CRETIB</v>
      </c>
      <c r="B90" s="4">
        <f>+'202401anual'!B123</f>
        <v>15000000</v>
      </c>
      <c r="C90" s="4">
        <v>0</v>
      </c>
      <c r="D90" s="4">
        <v>0</v>
      </c>
      <c r="E90" s="4">
        <f t="shared" si="69"/>
        <v>0</v>
      </c>
      <c r="F90" s="4">
        <v>0</v>
      </c>
      <c r="G90" s="4">
        <v>0</v>
      </c>
      <c r="H90" s="4">
        <f t="shared" si="70"/>
        <v>0</v>
      </c>
      <c r="I90" s="4">
        <v>0</v>
      </c>
      <c r="J90" s="4">
        <v>0</v>
      </c>
      <c r="K90" s="4">
        <f t="shared" si="90"/>
        <v>0</v>
      </c>
      <c r="L90" s="4">
        <f>+'202401anual'!F123</f>
        <v>7500000</v>
      </c>
      <c r="M90" s="4"/>
      <c r="N90" s="4">
        <f t="shared" si="91"/>
        <v>7500000</v>
      </c>
      <c r="O90" s="4">
        <f>+'202401anual'!G123</f>
        <v>0</v>
      </c>
      <c r="P90" s="4">
        <v>0</v>
      </c>
      <c r="Q90" s="4">
        <f t="shared" si="92"/>
        <v>0</v>
      </c>
      <c r="R90" s="4"/>
      <c r="S90" s="4">
        <v>0</v>
      </c>
      <c r="T90" s="4">
        <f t="shared" si="93"/>
        <v>0</v>
      </c>
      <c r="U90" s="4">
        <v>0</v>
      </c>
      <c r="V90" s="4">
        <v>0</v>
      </c>
      <c r="W90" s="4">
        <f t="shared" si="94"/>
        <v>0</v>
      </c>
      <c r="X90" s="4"/>
      <c r="Y90" s="4"/>
      <c r="Z90" s="4">
        <f t="shared" si="95"/>
        <v>0</v>
      </c>
      <c r="AA90" s="4">
        <f>+'202401anual'!K112</f>
        <v>0</v>
      </c>
      <c r="AB90" s="4"/>
      <c r="AC90" s="4">
        <f t="shared" si="96"/>
        <v>0</v>
      </c>
      <c r="AD90" s="4"/>
      <c r="AE90" s="4">
        <v>0</v>
      </c>
      <c r="AF90" s="4">
        <f t="shared" si="77"/>
        <v>0</v>
      </c>
      <c r="AG90" s="4"/>
      <c r="AH90" s="4"/>
      <c r="AI90" s="4">
        <f t="shared" si="78"/>
        <v>0</v>
      </c>
      <c r="AJ90" s="4"/>
      <c r="AK90" s="4"/>
      <c r="AL90" s="4">
        <f t="shared" si="79"/>
        <v>0</v>
      </c>
      <c r="AM90" s="4">
        <f t="shared" si="97"/>
        <v>7500000</v>
      </c>
      <c r="AN90" s="4">
        <f t="shared" si="98"/>
        <v>0</v>
      </c>
      <c r="AO90" s="4">
        <f t="shared" si="102"/>
        <v>7500000</v>
      </c>
      <c r="AP90" s="43">
        <f t="shared" si="100"/>
        <v>100</v>
      </c>
      <c r="AQ90" s="34">
        <f t="shared" si="16"/>
        <v>-7500000</v>
      </c>
      <c r="AR90" s="38"/>
      <c r="AS90" s="38"/>
      <c r="AT90" s="2"/>
      <c r="AU90" s="2"/>
    </row>
    <row r="91" spans="1:47" hidden="1" x14ac:dyDescent="0.25">
      <c r="A91" s="5" t="str">
        <f>+'202401anual'!A124</f>
        <v>Limpieza de cuencas</v>
      </c>
      <c r="B91" s="4">
        <f>+'202401anual'!B124</f>
        <v>5500000</v>
      </c>
      <c r="C91" s="4">
        <v>0</v>
      </c>
      <c r="D91" s="4">
        <v>0</v>
      </c>
      <c r="E91" s="4">
        <f t="shared" si="69"/>
        <v>0</v>
      </c>
      <c r="F91" s="4">
        <v>0</v>
      </c>
      <c r="G91" s="4">
        <v>0</v>
      </c>
      <c r="H91" s="4">
        <f t="shared" si="70"/>
        <v>0</v>
      </c>
      <c r="I91" s="4">
        <v>0</v>
      </c>
      <c r="J91" s="4">
        <v>0</v>
      </c>
      <c r="K91" s="4">
        <f t="shared" si="90"/>
        <v>0</v>
      </c>
      <c r="L91" s="4">
        <f>+'202401anual'!F124</f>
        <v>0</v>
      </c>
      <c r="M91" s="4"/>
      <c r="N91" s="4">
        <f t="shared" si="91"/>
        <v>0</v>
      </c>
      <c r="O91" s="4">
        <f>+'202401anual'!G124</f>
        <v>0</v>
      </c>
      <c r="P91" s="4">
        <v>0</v>
      </c>
      <c r="Q91" s="4">
        <f t="shared" si="92"/>
        <v>0</v>
      </c>
      <c r="R91" s="4"/>
      <c r="S91" s="4">
        <v>0</v>
      </c>
      <c r="T91" s="4">
        <f t="shared" si="93"/>
        <v>0</v>
      </c>
      <c r="U91" s="4"/>
      <c r="V91" s="4">
        <v>0</v>
      </c>
      <c r="W91" s="4">
        <f t="shared" si="94"/>
        <v>0</v>
      </c>
      <c r="X91" s="4"/>
      <c r="Y91" s="4"/>
      <c r="Z91" s="4">
        <f t="shared" si="95"/>
        <v>0</v>
      </c>
      <c r="AA91" s="4">
        <f>+'202401anual'!K113</f>
        <v>0</v>
      </c>
      <c r="AB91" s="4"/>
      <c r="AC91" s="4">
        <f t="shared" si="96"/>
        <v>0</v>
      </c>
      <c r="AD91" s="4"/>
      <c r="AE91" s="4"/>
      <c r="AF91" s="4">
        <f t="shared" si="77"/>
        <v>0</v>
      </c>
      <c r="AG91" s="4"/>
      <c r="AH91" s="4"/>
      <c r="AI91" s="4">
        <f t="shared" si="78"/>
        <v>0</v>
      </c>
      <c r="AJ91" s="4"/>
      <c r="AK91" s="4"/>
      <c r="AL91" s="4">
        <f t="shared" si="79"/>
        <v>0</v>
      </c>
      <c r="AM91" s="4">
        <f t="shared" si="97"/>
        <v>0</v>
      </c>
      <c r="AN91" s="4">
        <f t="shared" si="98"/>
        <v>0</v>
      </c>
      <c r="AO91" s="4">
        <f t="shared" si="102"/>
        <v>0</v>
      </c>
      <c r="AP91" s="43" t="e">
        <f t="shared" si="100"/>
        <v>#DIV/0!</v>
      </c>
      <c r="AQ91" s="34">
        <f t="shared" si="16"/>
        <v>-5500000</v>
      </c>
      <c r="AR91" s="38"/>
      <c r="AS91" s="38"/>
      <c r="AT91" s="2"/>
      <c r="AU91" s="2"/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69"/>
        <v>0</v>
      </c>
      <c r="F92" s="4">
        <v>0</v>
      </c>
      <c r="G92" s="4">
        <v>0</v>
      </c>
      <c r="H92" s="4">
        <f t="shared" si="70"/>
        <v>0</v>
      </c>
      <c r="I92" s="4">
        <v>0</v>
      </c>
      <c r="J92" s="4">
        <v>0</v>
      </c>
      <c r="K92" s="4">
        <f t="shared" si="90"/>
        <v>0</v>
      </c>
      <c r="L92" s="4">
        <f>+'202401anual'!F126</f>
        <v>0</v>
      </c>
      <c r="M92" s="4"/>
      <c r="N92" s="4">
        <f t="shared" si="91"/>
        <v>0</v>
      </c>
      <c r="O92" s="4">
        <f>+'202401anual'!G125</f>
        <v>10000000</v>
      </c>
      <c r="P92" s="4"/>
      <c r="Q92" s="4">
        <f t="shared" si="92"/>
        <v>10000000</v>
      </c>
      <c r="R92" s="4"/>
      <c r="S92" s="4"/>
      <c r="T92" s="4">
        <f t="shared" si="93"/>
        <v>0</v>
      </c>
      <c r="U92" s="4">
        <f>+'202401anual'!I128</f>
        <v>10000000</v>
      </c>
      <c r="V92" s="4">
        <v>0</v>
      </c>
      <c r="W92" s="4">
        <f t="shared" si="94"/>
        <v>10000000</v>
      </c>
      <c r="X92" s="4"/>
      <c r="Y92" s="4"/>
      <c r="Z92" s="4">
        <f t="shared" si="95"/>
        <v>0</v>
      </c>
      <c r="AA92" s="4"/>
      <c r="AB92" s="4"/>
      <c r="AC92" s="4">
        <f t="shared" si="96"/>
        <v>0</v>
      </c>
      <c r="AD92" s="4"/>
      <c r="AE92" s="4"/>
      <c r="AF92" s="4">
        <f t="shared" si="77"/>
        <v>0</v>
      </c>
      <c r="AG92" s="4"/>
      <c r="AH92" s="4"/>
      <c r="AI92" s="4">
        <f t="shared" si="78"/>
        <v>0</v>
      </c>
      <c r="AJ92" s="4"/>
      <c r="AK92" s="4"/>
      <c r="AL92" s="4">
        <f t="shared" si="79"/>
        <v>0</v>
      </c>
      <c r="AM92" s="4">
        <f t="shared" si="97"/>
        <v>20000000</v>
      </c>
      <c r="AN92" s="4">
        <f t="shared" si="98"/>
        <v>0</v>
      </c>
      <c r="AO92" s="4">
        <f t="shared" si="102"/>
        <v>20000000</v>
      </c>
      <c r="AP92" s="43">
        <f t="shared" si="100"/>
        <v>100</v>
      </c>
      <c r="AQ92" s="34">
        <f t="shared" si="16"/>
        <v>10000000</v>
      </c>
      <c r="AR92" s="38"/>
      <c r="AS92" s="38"/>
      <c r="AT92" s="2"/>
      <c r="AU92" s="2"/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69"/>
        <v>0</v>
      </c>
      <c r="F93" s="4">
        <v>0</v>
      </c>
      <c r="G93" s="4">
        <v>0</v>
      </c>
      <c r="H93" s="4">
        <f t="shared" si="70"/>
        <v>0</v>
      </c>
      <c r="I93" s="4">
        <v>0</v>
      </c>
      <c r="J93" s="4">
        <v>0</v>
      </c>
      <c r="K93" s="4">
        <f t="shared" si="90"/>
        <v>0</v>
      </c>
      <c r="L93" s="4"/>
      <c r="M93" s="4"/>
      <c r="N93" s="4">
        <f t="shared" si="91"/>
        <v>0</v>
      </c>
      <c r="O93" s="4">
        <f>+'202401anual'!G126</f>
        <v>10000000</v>
      </c>
      <c r="P93" s="4">
        <v>0</v>
      </c>
      <c r="Q93" s="4">
        <f t="shared" si="92"/>
        <v>10000000</v>
      </c>
      <c r="R93" s="4"/>
      <c r="S93" s="4"/>
      <c r="T93" s="4">
        <f t="shared" si="93"/>
        <v>0</v>
      </c>
      <c r="U93" s="4">
        <v>0</v>
      </c>
      <c r="V93" s="4">
        <v>0</v>
      </c>
      <c r="W93" s="4">
        <f t="shared" si="94"/>
        <v>0</v>
      </c>
      <c r="X93" s="4"/>
      <c r="Y93" s="4"/>
      <c r="Z93" s="4">
        <f t="shared" si="95"/>
        <v>0</v>
      </c>
      <c r="AA93" s="4"/>
      <c r="AB93" s="4"/>
      <c r="AC93" s="4">
        <f t="shared" si="96"/>
        <v>0</v>
      </c>
      <c r="AD93" s="4"/>
      <c r="AE93" s="4"/>
      <c r="AF93" s="4">
        <f t="shared" si="77"/>
        <v>0</v>
      </c>
      <c r="AG93" s="4"/>
      <c r="AH93" s="4"/>
      <c r="AI93" s="4">
        <f t="shared" si="78"/>
        <v>0</v>
      </c>
      <c r="AJ93" s="4"/>
      <c r="AK93" s="4"/>
      <c r="AL93" s="4">
        <f t="shared" si="79"/>
        <v>0</v>
      </c>
      <c r="AM93" s="4">
        <f t="shared" si="97"/>
        <v>10000000</v>
      </c>
      <c r="AN93" s="4">
        <f t="shared" si="98"/>
        <v>0</v>
      </c>
      <c r="AO93" s="4">
        <f t="shared" si="102"/>
        <v>10000000</v>
      </c>
      <c r="AP93" s="43">
        <f t="shared" si="100"/>
        <v>100</v>
      </c>
      <c r="AQ93" s="34">
        <f t="shared" si="16"/>
        <v>0</v>
      </c>
      <c r="AR93" s="38"/>
      <c r="AS93" s="38"/>
      <c r="AT93" s="2"/>
      <c r="AU93" s="2"/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69"/>
        <v>0</v>
      </c>
      <c r="F94" s="4">
        <v>0</v>
      </c>
      <c r="G94" s="4">
        <v>0</v>
      </c>
      <c r="H94" s="4">
        <f t="shared" si="70"/>
        <v>0</v>
      </c>
      <c r="I94" s="4">
        <v>0</v>
      </c>
      <c r="J94" s="4">
        <v>0</v>
      </c>
      <c r="K94" s="4">
        <f t="shared" si="90"/>
        <v>0</v>
      </c>
      <c r="L94" s="4"/>
      <c r="M94" s="4"/>
      <c r="N94" s="4">
        <f t="shared" si="91"/>
        <v>0</v>
      </c>
      <c r="O94" s="4">
        <f>+'202401anual'!G127</f>
        <v>10000000</v>
      </c>
      <c r="P94" s="4">
        <v>0</v>
      </c>
      <c r="Q94" s="4">
        <f t="shared" si="92"/>
        <v>10000000</v>
      </c>
      <c r="R94" s="4"/>
      <c r="S94" s="4"/>
      <c r="T94" s="4">
        <f t="shared" si="93"/>
        <v>0</v>
      </c>
      <c r="U94" s="4">
        <v>0</v>
      </c>
      <c r="V94" s="4">
        <v>0</v>
      </c>
      <c r="W94" s="4">
        <f t="shared" si="94"/>
        <v>0</v>
      </c>
      <c r="X94" s="4"/>
      <c r="Y94" s="4"/>
      <c r="Z94" s="4">
        <f t="shared" si="95"/>
        <v>0</v>
      </c>
      <c r="AA94" s="4"/>
      <c r="AB94" s="4"/>
      <c r="AC94" s="4">
        <f t="shared" si="96"/>
        <v>0</v>
      </c>
      <c r="AD94" s="4"/>
      <c r="AE94" s="4"/>
      <c r="AF94" s="4">
        <f t="shared" si="77"/>
        <v>0</v>
      </c>
      <c r="AG94" s="4"/>
      <c r="AH94" s="4"/>
      <c r="AI94" s="4">
        <f t="shared" si="78"/>
        <v>0</v>
      </c>
      <c r="AJ94" s="4"/>
      <c r="AK94" s="4"/>
      <c r="AL94" s="4">
        <f t="shared" si="79"/>
        <v>0</v>
      </c>
      <c r="AM94" s="4">
        <f t="shared" si="97"/>
        <v>10000000</v>
      </c>
      <c r="AN94" s="4">
        <f t="shared" si="98"/>
        <v>0</v>
      </c>
      <c r="AO94" s="4">
        <f t="shared" si="102"/>
        <v>10000000</v>
      </c>
      <c r="AP94" s="43">
        <f t="shared" si="100"/>
        <v>100</v>
      </c>
      <c r="AQ94" s="34">
        <f t="shared" si="16"/>
        <v>0</v>
      </c>
      <c r="AR94" s="38"/>
      <c r="AS94" s="38"/>
      <c r="AT94" s="2"/>
      <c r="AU94" s="2"/>
    </row>
    <row r="95" spans="1:47" hidden="1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69"/>
        <v>0</v>
      </c>
      <c r="F95" s="4">
        <v>0</v>
      </c>
      <c r="G95" s="4">
        <v>0</v>
      </c>
      <c r="H95" s="4">
        <f t="shared" si="70"/>
        <v>0</v>
      </c>
      <c r="I95" s="4">
        <v>0</v>
      </c>
      <c r="J95" s="4">
        <v>0</v>
      </c>
      <c r="K95" s="4">
        <f t="shared" si="90"/>
        <v>0</v>
      </c>
      <c r="L95" s="4"/>
      <c r="M95" s="4">
        <v>0</v>
      </c>
      <c r="N95" s="4">
        <f t="shared" si="91"/>
        <v>0</v>
      </c>
      <c r="O95" s="4">
        <f>+'202401anual'!G128</f>
        <v>0</v>
      </c>
      <c r="P95" s="4">
        <v>0</v>
      </c>
      <c r="Q95" s="4">
        <f t="shared" si="92"/>
        <v>0</v>
      </c>
      <c r="R95" s="4"/>
      <c r="S95" s="4"/>
      <c r="T95" s="4">
        <f t="shared" si="93"/>
        <v>0</v>
      </c>
      <c r="U95" s="4"/>
      <c r="V95" s="4">
        <v>0</v>
      </c>
      <c r="W95" s="4">
        <f t="shared" si="94"/>
        <v>0</v>
      </c>
      <c r="X95" s="4"/>
      <c r="Y95" s="4"/>
      <c r="Z95" s="4">
        <f t="shared" si="95"/>
        <v>0</v>
      </c>
      <c r="AA95" s="4"/>
      <c r="AB95" s="4"/>
      <c r="AC95" s="4">
        <f t="shared" si="96"/>
        <v>0</v>
      </c>
      <c r="AD95" s="4"/>
      <c r="AE95" s="4"/>
      <c r="AF95" s="4">
        <f t="shared" si="77"/>
        <v>0</v>
      </c>
      <c r="AG95" s="4"/>
      <c r="AH95" s="4"/>
      <c r="AI95" s="4">
        <f t="shared" si="78"/>
        <v>0</v>
      </c>
      <c r="AJ95" s="4"/>
      <c r="AK95" s="4"/>
      <c r="AL95" s="4">
        <f t="shared" si="79"/>
        <v>0</v>
      </c>
      <c r="AM95" s="4">
        <f t="shared" si="97"/>
        <v>0</v>
      </c>
      <c r="AN95" s="4">
        <f t="shared" si="98"/>
        <v>0</v>
      </c>
      <c r="AO95" s="4">
        <f t="shared" si="102"/>
        <v>0</v>
      </c>
      <c r="AP95" s="43" t="e">
        <f t="shared" si="100"/>
        <v>#DIV/0!</v>
      </c>
      <c r="AQ95" s="34">
        <f t="shared" si="16"/>
        <v>-20000000</v>
      </c>
      <c r="AR95" s="38"/>
      <c r="AS95" s="38"/>
      <c r="AT95" s="2"/>
      <c r="AU95" s="2"/>
    </row>
    <row r="96" spans="1:47" hidden="1" x14ac:dyDescent="0.25">
      <c r="A96" s="5" t="str">
        <f>+'202401anual'!A129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69"/>
        <v>0</v>
      </c>
      <c r="F96" s="4">
        <v>0</v>
      </c>
      <c r="G96" s="4">
        <v>0</v>
      </c>
      <c r="H96" s="4">
        <f t="shared" si="70"/>
        <v>0</v>
      </c>
      <c r="I96" s="4">
        <v>0</v>
      </c>
      <c r="J96" s="4">
        <v>0</v>
      </c>
      <c r="K96" s="4">
        <f t="shared" si="90"/>
        <v>0</v>
      </c>
      <c r="L96" s="4"/>
      <c r="M96" s="4">
        <v>0</v>
      </c>
      <c r="N96" s="4">
        <f t="shared" si="91"/>
        <v>0</v>
      </c>
      <c r="O96" s="4">
        <f>+'202401anual'!G129</f>
        <v>0</v>
      </c>
      <c r="P96" s="4">
        <v>0</v>
      </c>
      <c r="Q96" s="4">
        <f t="shared" si="92"/>
        <v>0</v>
      </c>
      <c r="R96" s="4">
        <f>+'202401anual'!H119</f>
        <v>0</v>
      </c>
      <c r="S96" s="4">
        <v>0</v>
      </c>
      <c r="T96" s="4">
        <f t="shared" si="93"/>
        <v>0</v>
      </c>
      <c r="U96" s="4"/>
      <c r="V96" s="4">
        <v>0</v>
      </c>
      <c r="W96" s="4">
        <f t="shared" si="94"/>
        <v>0</v>
      </c>
      <c r="X96" s="4"/>
      <c r="Y96" s="4"/>
      <c r="Z96" s="4">
        <f t="shared" si="95"/>
        <v>0</v>
      </c>
      <c r="AA96" s="4"/>
      <c r="AB96" s="4"/>
      <c r="AC96" s="4">
        <f t="shared" si="96"/>
        <v>0</v>
      </c>
      <c r="AD96" s="4"/>
      <c r="AE96" s="4"/>
      <c r="AF96" s="4">
        <f t="shared" si="77"/>
        <v>0</v>
      </c>
      <c r="AG96" s="4"/>
      <c r="AH96" s="4"/>
      <c r="AI96" s="4">
        <f t="shared" si="78"/>
        <v>0</v>
      </c>
      <c r="AJ96" s="4"/>
      <c r="AK96" s="4"/>
      <c r="AL96" s="4">
        <f t="shared" si="79"/>
        <v>0</v>
      </c>
      <c r="AM96" s="4">
        <f t="shared" si="97"/>
        <v>0</v>
      </c>
      <c r="AN96" s="4">
        <f t="shared" si="98"/>
        <v>0</v>
      </c>
      <c r="AO96" s="4">
        <f t="shared" si="102"/>
        <v>0</v>
      </c>
      <c r="AP96" s="43" t="e">
        <f t="shared" si="100"/>
        <v>#DIV/0!</v>
      </c>
      <c r="AQ96" s="34">
        <f t="shared" ref="AQ96:AQ101" si="103">+AM96-B96</f>
        <v>-1500000000</v>
      </c>
      <c r="AR96" s="38"/>
      <c r="AS96" s="38"/>
      <c r="AT96" s="2"/>
      <c r="AU96" s="2"/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69"/>
        <v>0</v>
      </c>
      <c r="F97" s="85">
        <v>6000000</v>
      </c>
      <c r="G97" s="4">
        <v>0</v>
      </c>
      <c r="H97" s="4">
        <f t="shared" si="70"/>
        <v>6000000</v>
      </c>
      <c r="I97" s="4">
        <v>0</v>
      </c>
      <c r="J97" s="4">
        <v>0</v>
      </c>
      <c r="K97" s="4">
        <f t="shared" si="90"/>
        <v>0</v>
      </c>
      <c r="L97" s="4"/>
      <c r="M97" s="4"/>
      <c r="N97" s="4">
        <f t="shared" si="91"/>
        <v>0</v>
      </c>
      <c r="O97" s="4">
        <f>+'202401anual'!G130</f>
        <v>6000000</v>
      </c>
      <c r="P97" s="4">
        <v>0</v>
      </c>
      <c r="Q97" s="4">
        <f t="shared" si="92"/>
        <v>6000000</v>
      </c>
      <c r="R97" s="4"/>
      <c r="S97" s="4"/>
      <c r="T97" s="4">
        <f t="shared" si="93"/>
        <v>0</v>
      </c>
      <c r="U97" s="4">
        <v>0</v>
      </c>
      <c r="V97" s="4">
        <v>0</v>
      </c>
      <c r="W97" s="4">
        <f t="shared" si="94"/>
        <v>0</v>
      </c>
      <c r="X97" s="4"/>
      <c r="Y97" s="4"/>
      <c r="Z97" s="4">
        <f t="shared" si="95"/>
        <v>0</v>
      </c>
      <c r="AA97" s="4"/>
      <c r="AB97" s="4"/>
      <c r="AC97" s="4">
        <f t="shared" si="96"/>
        <v>0</v>
      </c>
      <c r="AD97" s="4"/>
      <c r="AE97" s="4"/>
      <c r="AF97" s="4">
        <f t="shared" si="77"/>
        <v>0</v>
      </c>
      <c r="AG97" s="4"/>
      <c r="AH97" s="4"/>
      <c r="AI97" s="4">
        <f t="shared" si="78"/>
        <v>0</v>
      </c>
      <c r="AJ97" s="4"/>
      <c r="AK97" s="4"/>
      <c r="AL97" s="4">
        <f t="shared" si="79"/>
        <v>0</v>
      </c>
      <c r="AM97" s="4">
        <f t="shared" si="97"/>
        <v>12000000</v>
      </c>
      <c r="AN97" s="4">
        <f t="shared" si="98"/>
        <v>0</v>
      </c>
      <c r="AO97" s="4">
        <f t="shared" si="102"/>
        <v>12000000</v>
      </c>
      <c r="AP97" s="43">
        <f t="shared" si="100"/>
        <v>100</v>
      </c>
      <c r="AQ97" s="34">
        <f t="shared" si="103"/>
        <v>3000000</v>
      </c>
      <c r="AR97" s="38"/>
      <c r="AS97" s="38"/>
      <c r="AT97" s="2"/>
      <c r="AU97" s="2"/>
    </row>
    <row r="98" spans="1:55" x14ac:dyDescent="0.25">
      <c r="A98" s="12" t="s">
        <v>188</v>
      </c>
      <c r="B98" s="8">
        <f>SUM(B89:B97)</f>
        <v>1609500000</v>
      </c>
      <c r="C98" s="8">
        <f>SUM(C89:C97)</f>
        <v>0</v>
      </c>
      <c r="D98" s="8">
        <f t="shared" ref="D98:AO98" si="104">SUM(D89:D97)</f>
        <v>0</v>
      </c>
      <c r="E98" s="8">
        <f t="shared" si="104"/>
        <v>0</v>
      </c>
      <c r="F98" s="8">
        <f>SUM(F89:F97)</f>
        <v>6000000</v>
      </c>
      <c r="G98" s="8">
        <f t="shared" si="104"/>
        <v>0</v>
      </c>
      <c r="H98" s="8">
        <f t="shared" si="104"/>
        <v>6000000</v>
      </c>
      <c r="I98" s="8">
        <f t="shared" si="104"/>
        <v>0</v>
      </c>
      <c r="J98" s="8">
        <f t="shared" si="104"/>
        <v>0</v>
      </c>
      <c r="K98" s="8">
        <f t="shared" si="104"/>
        <v>0</v>
      </c>
      <c r="L98" s="8">
        <f t="shared" si="104"/>
        <v>15350000</v>
      </c>
      <c r="M98" s="8">
        <f t="shared" si="104"/>
        <v>0</v>
      </c>
      <c r="N98" s="8">
        <f t="shared" si="104"/>
        <v>15350000</v>
      </c>
      <c r="O98" s="8">
        <f t="shared" si="104"/>
        <v>36000000</v>
      </c>
      <c r="P98" s="8">
        <f t="shared" si="104"/>
        <v>0</v>
      </c>
      <c r="Q98" s="8">
        <f t="shared" si="104"/>
        <v>36000000</v>
      </c>
      <c r="R98" s="8">
        <f t="shared" si="104"/>
        <v>20000000</v>
      </c>
      <c r="S98" s="8">
        <f t="shared" si="104"/>
        <v>0</v>
      </c>
      <c r="T98" s="8">
        <f t="shared" si="104"/>
        <v>20000000</v>
      </c>
      <c r="U98" s="8">
        <f t="shared" si="104"/>
        <v>10000000</v>
      </c>
      <c r="V98" s="8">
        <f t="shared" si="104"/>
        <v>0</v>
      </c>
      <c r="W98" s="8">
        <f t="shared" si="104"/>
        <v>10000000</v>
      </c>
      <c r="X98" s="8">
        <f t="shared" si="104"/>
        <v>0</v>
      </c>
      <c r="Y98" s="8">
        <f t="shared" si="104"/>
        <v>0</v>
      </c>
      <c r="Z98" s="8">
        <f t="shared" si="104"/>
        <v>0</v>
      </c>
      <c r="AA98" s="8">
        <f t="shared" si="104"/>
        <v>0</v>
      </c>
      <c r="AB98" s="8">
        <f t="shared" si="104"/>
        <v>0</v>
      </c>
      <c r="AC98" s="8">
        <f t="shared" si="104"/>
        <v>0</v>
      </c>
      <c r="AD98" s="8">
        <f t="shared" si="104"/>
        <v>0</v>
      </c>
      <c r="AE98" s="8">
        <f t="shared" si="104"/>
        <v>0</v>
      </c>
      <c r="AF98" s="8">
        <f t="shared" si="104"/>
        <v>0</v>
      </c>
      <c r="AG98" s="8">
        <f t="shared" si="104"/>
        <v>0</v>
      </c>
      <c r="AH98" s="8">
        <f t="shared" si="104"/>
        <v>0</v>
      </c>
      <c r="AI98" s="8">
        <f t="shared" si="104"/>
        <v>0</v>
      </c>
      <c r="AJ98" s="8">
        <f t="shared" si="104"/>
        <v>0</v>
      </c>
      <c r="AK98" s="8">
        <f t="shared" si="104"/>
        <v>0</v>
      </c>
      <c r="AL98" s="8">
        <f t="shared" si="104"/>
        <v>0</v>
      </c>
      <c r="AM98" s="8">
        <f t="shared" si="104"/>
        <v>87350000</v>
      </c>
      <c r="AN98" s="8">
        <f t="shared" si="104"/>
        <v>0</v>
      </c>
      <c r="AO98" s="8">
        <f t="shared" si="104"/>
        <v>87350000</v>
      </c>
      <c r="AP98" s="31">
        <f>+AO98/AM98</f>
        <v>1</v>
      </c>
      <c r="AQ98" s="34"/>
      <c r="AR98" s="38"/>
      <c r="AS98" s="38"/>
      <c r="AT98" s="2"/>
      <c r="AU98" s="2"/>
    </row>
    <row r="99" spans="1:55" x14ac:dyDescent="0.25">
      <c r="A99" s="12" t="s">
        <v>189</v>
      </c>
      <c r="B99" s="8">
        <f>+B98+B87+B50</f>
        <v>4176837988.7873907</v>
      </c>
      <c r="C99" s="8">
        <f>+C98+C87+C50</f>
        <v>210216582.39894927</v>
      </c>
      <c r="D99" s="8">
        <f t="shared" ref="D99:AN99" si="105">+D98+D87+D50</f>
        <v>144799890</v>
      </c>
      <c r="E99" s="8">
        <f t="shared" si="105"/>
        <v>65416692.398949251</v>
      </c>
      <c r="F99" s="8">
        <f>+F98+F87+F50</f>
        <v>229170582.39894927</v>
      </c>
      <c r="G99" s="8">
        <f t="shared" si="105"/>
        <v>147807852.82999998</v>
      </c>
      <c r="H99" s="8">
        <f t="shared" si="105"/>
        <v>81362729.568949252</v>
      </c>
      <c r="I99" s="8">
        <f t="shared" si="105"/>
        <v>149510589.39894927</v>
      </c>
      <c r="J99" s="8">
        <f t="shared" si="105"/>
        <v>108288270.02</v>
      </c>
      <c r="K99" s="8">
        <f t="shared" si="105"/>
        <v>41222319.378949262</v>
      </c>
      <c r="L99" s="8">
        <f t="shared" si="105"/>
        <v>290595889.23228264</v>
      </c>
      <c r="M99" s="8">
        <f t="shared" si="105"/>
        <v>181243440.15000001</v>
      </c>
      <c r="N99" s="8">
        <f t="shared" si="105"/>
        <v>109352449.08228257</v>
      </c>
      <c r="O99" s="8">
        <f t="shared" si="105"/>
        <v>250604689.23228258</v>
      </c>
      <c r="P99" s="8">
        <f t="shared" si="105"/>
        <v>172465442</v>
      </c>
      <c r="Q99" s="8">
        <f t="shared" si="105"/>
        <v>78139247.232282579</v>
      </c>
      <c r="R99" s="8">
        <f t="shared" si="105"/>
        <v>241157089.23228258</v>
      </c>
      <c r="S99" s="8">
        <f>+S98+S87+S50</f>
        <v>182092083.28149998</v>
      </c>
      <c r="T99" s="8">
        <f t="shared" si="105"/>
        <v>59065005.950782582</v>
      </c>
      <c r="U99" s="8">
        <f t="shared" si="105"/>
        <v>245157607.23228258</v>
      </c>
      <c r="V99" s="8">
        <f t="shared" si="105"/>
        <v>141347014.19999999</v>
      </c>
      <c r="W99" s="8">
        <f t="shared" si="105"/>
        <v>103810593.03228259</v>
      </c>
      <c r="X99" s="8">
        <f t="shared" si="105"/>
        <v>0</v>
      </c>
      <c r="Y99" s="8">
        <f t="shared" si="105"/>
        <v>0</v>
      </c>
      <c r="Z99" s="8">
        <f t="shared" si="105"/>
        <v>0</v>
      </c>
      <c r="AA99" s="8">
        <f t="shared" si="105"/>
        <v>0</v>
      </c>
      <c r="AB99" s="8">
        <f t="shared" si="105"/>
        <v>0</v>
      </c>
      <c r="AC99" s="8">
        <f t="shared" si="105"/>
        <v>0</v>
      </c>
      <c r="AD99" s="8">
        <f t="shared" si="105"/>
        <v>0</v>
      </c>
      <c r="AE99" s="8">
        <f t="shared" si="105"/>
        <v>0</v>
      </c>
      <c r="AF99" s="8">
        <f t="shared" si="105"/>
        <v>0</v>
      </c>
      <c r="AG99" s="8">
        <f t="shared" si="105"/>
        <v>0</v>
      </c>
      <c r="AH99" s="8">
        <f t="shared" si="105"/>
        <v>0</v>
      </c>
      <c r="AI99" s="8">
        <f t="shared" si="105"/>
        <v>0</v>
      </c>
      <c r="AJ99" s="8">
        <f t="shared" si="105"/>
        <v>0</v>
      </c>
      <c r="AK99" s="8">
        <f t="shared" si="105"/>
        <v>0</v>
      </c>
      <c r="AL99" s="8">
        <f t="shared" si="105"/>
        <v>0</v>
      </c>
      <c r="AM99" s="8">
        <f t="shared" si="105"/>
        <v>1616413029.1259782</v>
      </c>
      <c r="AN99" s="8">
        <f t="shared" si="105"/>
        <v>1078043992.4815001</v>
      </c>
      <c r="AO99" s="8">
        <f>+AO98+AO87+AO50</f>
        <v>538369036.64447808</v>
      </c>
      <c r="AP99" s="31">
        <f>+AO99/AM99</f>
        <v>0.33306402939326918</v>
      </c>
      <c r="AQ99" s="34">
        <f t="shared" si="103"/>
        <v>-2560424959.6614122</v>
      </c>
      <c r="AR99" s="50" t="e">
        <f>AI99/AG99*100</f>
        <v>#DIV/0!</v>
      </c>
      <c r="AS99" s="39"/>
      <c r="AT99" s="51">
        <f>W99/U99*100</f>
        <v>42.344430672275188</v>
      </c>
      <c r="AU99" s="2"/>
      <c r="AW99" s="2"/>
    </row>
    <row r="100" spans="1:55" s="1" customFormat="1" x14ac:dyDescent="0.25">
      <c r="A100" s="12" t="s">
        <v>62</v>
      </c>
      <c r="B100" s="15">
        <f>+B99+B36+B28</f>
        <v>9939582392.7940598</v>
      </c>
      <c r="C100" s="15">
        <f>+C99+C36+C28</f>
        <v>594304604.70405233</v>
      </c>
      <c r="D100" s="15">
        <f t="shared" ref="D100:AN100" si="106">+D99+D36+D28</f>
        <v>339307498</v>
      </c>
      <c r="E100" s="15">
        <f t="shared" si="106"/>
        <v>254997106.70405236</v>
      </c>
      <c r="F100" s="15">
        <f>+F99+F36+F28</f>
        <v>689168746.70405233</v>
      </c>
      <c r="G100" s="15">
        <f t="shared" si="106"/>
        <v>347820769.82999998</v>
      </c>
      <c r="H100" s="15">
        <f t="shared" si="106"/>
        <v>341347976.87405235</v>
      </c>
      <c r="I100" s="15">
        <f t="shared" si="106"/>
        <v>365417404.82305241</v>
      </c>
      <c r="J100" s="15">
        <f t="shared" si="106"/>
        <v>311281642.25</v>
      </c>
      <c r="K100" s="15">
        <f t="shared" si="106"/>
        <v>54135762.573052362</v>
      </c>
      <c r="L100" s="15">
        <f t="shared" si="106"/>
        <v>570019204.65638578</v>
      </c>
      <c r="M100" s="15">
        <f t="shared" si="106"/>
        <v>530357898.14999998</v>
      </c>
      <c r="N100" s="15">
        <f t="shared" si="106"/>
        <v>39661306.506385669</v>
      </c>
      <c r="O100" s="15">
        <f t="shared" si="106"/>
        <v>748628004.65638566</v>
      </c>
      <c r="P100" s="15">
        <f t="shared" si="106"/>
        <v>576853934</v>
      </c>
      <c r="Q100" s="15">
        <f t="shared" si="106"/>
        <v>171774070.65638569</v>
      </c>
      <c r="R100" s="15">
        <f t="shared" si="106"/>
        <v>731130404.65638566</v>
      </c>
      <c r="S100" s="15">
        <f t="shared" si="106"/>
        <v>487152990.28149998</v>
      </c>
      <c r="T100" s="15">
        <f t="shared" si="106"/>
        <v>243977414.37488568</v>
      </c>
      <c r="U100" s="15">
        <f t="shared" si="106"/>
        <v>907020922.65638566</v>
      </c>
      <c r="V100" s="15">
        <f t="shared" si="106"/>
        <v>526271592.19999999</v>
      </c>
      <c r="W100" s="15">
        <f t="shared" si="106"/>
        <v>380749330.45638573</v>
      </c>
      <c r="X100" s="15">
        <f t="shared" si="106"/>
        <v>0</v>
      </c>
      <c r="Y100" s="15">
        <f t="shared" si="106"/>
        <v>0</v>
      </c>
      <c r="Z100" s="15">
        <f t="shared" si="106"/>
        <v>0</v>
      </c>
      <c r="AA100" s="15">
        <f t="shared" si="106"/>
        <v>0</v>
      </c>
      <c r="AB100" s="15">
        <f t="shared" si="106"/>
        <v>0</v>
      </c>
      <c r="AC100" s="15">
        <f t="shared" si="106"/>
        <v>0</v>
      </c>
      <c r="AD100" s="15">
        <f t="shared" si="106"/>
        <v>0</v>
      </c>
      <c r="AE100" s="15">
        <f t="shared" si="106"/>
        <v>0</v>
      </c>
      <c r="AF100" s="15">
        <f t="shared" si="106"/>
        <v>0</v>
      </c>
      <c r="AG100" s="15">
        <f t="shared" si="106"/>
        <v>0</v>
      </c>
      <c r="AH100" s="15">
        <f t="shared" si="106"/>
        <v>0</v>
      </c>
      <c r="AI100" s="15">
        <f t="shared" si="106"/>
        <v>0</v>
      </c>
      <c r="AJ100" s="15">
        <f t="shared" si="106"/>
        <v>0</v>
      </c>
      <c r="AK100" s="15">
        <f t="shared" si="106"/>
        <v>0</v>
      </c>
      <c r="AL100" s="15">
        <f t="shared" si="106"/>
        <v>0</v>
      </c>
      <c r="AM100" s="15">
        <f t="shared" si="106"/>
        <v>4605689292.8566999</v>
      </c>
      <c r="AN100" s="15">
        <f t="shared" si="106"/>
        <v>3119046324.7115002</v>
      </c>
      <c r="AO100" s="15">
        <f>+AO99+AO36+AO28</f>
        <v>1486642968.1451998</v>
      </c>
      <c r="AP100" s="31">
        <f>+AO100/AM100</f>
        <v>0.32278403374950693</v>
      </c>
      <c r="AQ100" s="34">
        <f t="shared" si="103"/>
        <v>-5333893099.9373598</v>
      </c>
      <c r="AR100" s="50" t="e">
        <f>AI100/AG100*100</f>
        <v>#DIV/0!</v>
      </c>
      <c r="AS100" s="53">
        <f>+AN100/AM100</f>
        <v>0.67721596625049307</v>
      </c>
      <c r="AT100" s="51">
        <f>W100/U100*100</f>
        <v>41.978009651782664</v>
      </c>
      <c r="AU100" s="24"/>
      <c r="AV100" s="93"/>
      <c r="BA100" s="82"/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07">+D16-D100</f>
        <v>-191301406.81999999</v>
      </c>
      <c r="E101" s="9">
        <f t="shared" si="107"/>
        <v>-227481481.19425303</v>
      </c>
      <c r="F101" s="9">
        <f t="shared" si="107"/>
        <v>-507158459.13425303</v>
      </c>
      <c r="G101" s="9">
        <f t="shared" si="107"/>
        <v>-223242670.89999998</v>
      </c>
      <c r="H101" s="9">
        <f t="shared" si="107"/>
        <v>-283915788.23425299</v>
      </c>
      <c r="I101" s="9">
        <f t="shared" si="107"/>
        <v>2323081453.6267471</v>
      </c>
      <c r="J101" s="9">
        <f t="shared" si="107"/>
        <v>2311230443.3899999</v>
      </c>
      <c r="K101" s="9">
        <f t="shared" si="107"/>
        <v>11851010.236746982</v>
      </c>
      <c r="L101" s="9">
        <f t="shared" si="107"/>
        <v>-375031775.32658648</v>
      </c>
      <c r="M101" s="9">
        <f t="shared" si="107"/>
        <v>-367112170.51999998</v>
      </c>
      <c r="N101" s="9">
        <f t="shared" si="107"/>
        <v>-7919604.8065863252</v>
      </c>
      <c r="O101" s="9">
        <f t="shared" si="107"/>
        <v>-547152004.44658637</v>
      </c>
      <c r="P101" s="9">
        <f t="shared" si="107"/>
        <v>-384184537.78999996</v>
      </c>
      <c r="Q101" s="9">
        <f t="shared" si="107"/>
        <v>-162967466.65658635</v>
      </c>
      <c r="R101" s="9">
        <f t="shared" si="107"/>
        <v>-523165833.56658638</v>
      </c>
      <c r="S101" s="9">
        <f t="shared" si="107"/>
        <v>-361685274.67149997</v>
      </c>
      <c r="T101" s="9">
        <f t="shared" si="107"/>
        <v>-139997653.79508632</v>
      </c>
      <c r="U101" s="9">
        <f t="shared" si="107"/>
        <v>4270789426.3134136</v>
      </c>
      <c r="V101" s="9">
        <f t="shared" si="107"/>
        <v>-373306838.88999999</v>
      </c>
      <c r="W101" s="9">
        <f t="shared" si="107"/>
        <v>4644096265.203414</v>
      </c>
      <c r="X101" s="9">
        <f t="shared" si="107"/>
        <v>0</v>
      </c>
      <c r="Y101" s="9">
        <f t="shared" si="107"/>
        <v>0</v>
      </c>
      <c r="Z101" s="9">
        <f t="shared" si="107"/>
        <v>0</v>
      </c>
      <c r="AA101" s="9">
        <f t="shared" si="107"/>
        <v>0</v>
      </c>
      <c r="AB101" s="9">
        <f t="shared" si="107"/>
        <v>0</v>
      </c>
      <c r="AC101" s="9">
        <f t="shared" si="107"/>
        <v>0</v>
      </c>
      <c r="AD101" s="9">
        <f t="shared" si="107"/>
        <v>0</v>
      </c>
      <c r="AE101" s="9">
        <f t="shared" si="107"/>
        <v>0</v>
      </c>
      <c r="AF101" s="9">
        <f t="shared" si="107"/>
        <v>0</v>
      </c>
      <c r="AG101" s="9">
        <f t="shared" si="107"/>
        <v>0</v>
      </c>
      <c r="AH101" s="9">
        <f t="shared" si="107"/>
        <v>0</v>
      </c>
      <c r="AI101" s="9">
        <f t="shared" si="107"/>
        <v>0</v>
      </c>
      <c r="AJ101" s="9">
        <f t="shared" si="107"/>
        <v>0</v>
      </c>
      <c r="AK101" s="9">
        <f t="shared" si="107"/>
        <v>0</v>
      </c>
      <c r="AL101" s="9">
        <f t="shared" si="107"/>
        <v>0</v>
      </c>
      <c r="AM101" s="9">
        <f t="shared" si="107"/>
        <v>4222579919.4518957</v>
      </c>
      <c r="AN101" s="9">
        <f t="shared" si="107"/>
        <v>410397543.79850006</v>
      </c>
      <c r="AO101" s="9">
        <f t="shared" si="107"/>
        <v>3812182375.6533957</v>
      </c>
      <c r="AP101" s="32">
        <f>+AO101/AM101</f>
        <v>0.90280881555185089</v>
      </c>
      <c r="AQ101" s="34">
        <f t="shared" si="103"/>
        <v>4222579919.4516497</v>
      </c>
      <c r="AR101" s="50" t="e">
        <f>AI101/AG101*100</f>
        <v>#DIV/0!</v>
      </c>
      <c r="AS101" s="41"/>
      <c r="AT101" s="24"/>
      <c r="AU101" s="2"/>
      <c r="BC101" s="56"/>
    </row>
    <row r="102" spans="1:55" x14ac:dyDescent="0.25">
      <c r="B102" s="2">
        <f>+B100-'202401anual'!B144</f>
        <v>0</v>
      </c>
      <c r="C102" s="3"/>
      <c r="D102" s="2"/>
      <c r="F102" s="2"/>
      <c r="G102" s="40"/>
      <c r="H102" s="40"/>
      <c r="I102" s="2"/>
      <c r="J102" s="2"/>
      <c r="K102" s="2"/>
      <c r="L102" s="3"/>
      <c r="O102" s="3"/>
      <c r="P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B103" s="110"/>
      <c r="C103" s="111"/>
      <c r="D103" s="111"/>
      <c r="E103" s="110"/>
      <c r="F103" s="111"/>
      <c r="G103" s="40"/>
      <c r="H103" s="40"/>
      <c r="I103" s="2"/>
      <c r="J103" s="2"/>
      <c r="K103" s="2"/>
      <c r="L103" s="2"/>
      <c r="O103" s="2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B104" s="110"/>
      <c r="C104" s="110"/>
      <c r="D104" s="110"/>
      <c r="E104" s="110"/>
      <c r="F104" s="110"/>
      <c r="G104" s="112"/>
      <c r="H104" s="35"/>
      <c r="I104" s="2"/>
      <c r="J104" s="2"/>
      <c r="K104" s="2"/>
      <c r="O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+C100+F100+I100+L100++O100+R100+U100</f>
        <v>4605689292.856699</v>
      </c>
      <c r="AN104" s="2">
        <f>+D100+G100+J100+M100+P100+S100+V100</f>
        <v>3119046324.7114997</v>
      </c>
      <c r="AO104" s="2">
        <f>+E100+H100+K100+N100+Q100+T100+W100</f>
        <v>1486642968.1451998</v>
      </c>
      <c r="AR104" s="2"/>
      <c r="AU104" s="2"/>
      <c r="AV104" s="20"/>
      <c r="AX104" s="2"/>
    </row>
    <row r="105" spans="1:55" x14ac:dyDescent="0.25">
      <c r="B105" s="111"/>
      <c r="C105" s="111"/>
      <c r="D105" s="110"/>
      <c r="E105" s="110"/>
      <c r="F105" s="110"/>
      <c r="G105" s="110"/>
      <c r="I105" s="2"/>
      <c r="J105" s="2"/>
      <c r="K105" s="2"/>
      <c r="O105" s="2"/>
      <c r="Q105" s="2"/>
      <c r="R105" s="2"/>
      <c r="S105" s="2"/>
      <c r="T105" s="2"/>
      <c r="U105" s="2"/>
      <c r="V105" s="2"/>
      <c r="X105" s="2"/>
      <c r="Y105" s="2"/>
      <c r="Z105" s="2"/>
      <c r="AM105" s="2">
        <f>+'202401anual'!B144</f>
        <v>9939582392.7940598</v>
      </c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111"/>
      <c r="C106" s="111"/>
      <c r="D106" s="110"/>
      <c r="E106" s="110"/>
      <c r="F106" s="111"/>
      <c r="G106" s="110"/>
      <c r="I106" s="2"/>
      <c r="L106" s="2"/>
      <c r="O106" s="2"/>
      <c r="R106" s="2"/>
      <c r="U106" s="2">
        <f>+U101-'202401anual'!I145</f>
        <v>0</v>
      </c>
      <c r="X106" s="2">
        <f>+X101-'202401anual'!J145</f>
        <v>392092972.5197556</v>
      </c>
      <c r="Y106" s="2"/>
      <c r="Z106" s="2"/>
      <c r="AA106" s="2">
        <f>+AA101-'202401anual'!K145</f>
        <v>3189073772.5197554</v>
      </c>
      <c r="AD106" s="2">
        <f>+AD101-'202401anual'!L145</f>
        <v>492766726.51975548</v>
      </c>
      <c r="AG106" s="2">
        <f>+AG101-'202401anual'!M145</f>
        <v>442777601.09075558</v>
      </c>
      <c r="AM106" s="2">
        <f>+AM105-AM104</f>
        <v>5333893099.9373608</v>
      </c>
      <c r="AN106" s="2"/>
      <c r="AO106" s="3"/>
      <c r="AR106" s="2"/>
      <c r="AU106" s="2"/>
      <c r="AV106" s="20"/>
    </row>
    <row r="107" spans="1:55" x14ac:dyDescent="0.25">
      <c r="B107" s="110"/>
      <c r="C107" s="110"/>
      <c r="D107" s="110"/>
      <c r="E107" s="110"/>
      <c r="F107" s="110"/>
      <c r="G107" s="110"/>
      <c r="O107" s="3"/>
      <c r="U107" s="2">
        <f>+U100-'202401anual'!I144</f>
        <v>0</v>
      </c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111"/>
      <c r="C108" s="110"/>
      <c r="D108" s="110"/>
      <c r="E108" s="110"/>
      <c r="F108" s="110"/>
      <c r="G108" s="110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B109" s="110"/>
      <c r="C109" s="110"/>
      <c r="D109" s="111"/>
      <c r="E109" s="111"/>
      <c r="F109" s="111"/>
      <c r="G109" s="110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09" t="s">
        <v>120</v>
      </c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01" t="s">
        <v>51</v>
      </c>
      <c r="B1" s="101"/>
      <c r="C1" s="101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23"/>
      <c r="U3" s="23"/>
      <c r="V3" s="23"/>
    </row>
    <row r="4" spans="1:30" ht="15.75" thickBot="1" x14ac:dyDescent="0.3">
      <c r="A4" s="23"/>
      <c r="B4" s="23"/>
      <c r="C4" s="103" t="s">
        <v>105</v>
      </c>
      <c r="D4" s="104"/>
      <c r="E4" s="105"/>
      <c r="F4" s="23"/>
      <c r="G4" s="23"/>
      <c r="H4" s="23"/>
      <c r="I4" s="23"/>
      <c r="J4" s="23"/>
      <c r="K4" s="23"/>
      <c r="L4" s="23"/>
      <c r="M4" s="23"/>
      <c r="N4" s="23"/>
      <c r="O4" s="23"/>
      <c r="P4" s="106" t="s">
        <v>48</v>
      </c>
      <c r="Q4" s="107"/>
      <c r="R4" s="107"/>
      <c r="S4" s="108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+[14]EjecucionPptalPasiva!$S$11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2024-08-23T02:41:25Z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