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1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.xml" ContentType="application/vnd.ms-excel.person+xml"/>
  <Override PartName="/xl/persons/person9.xml" ContentType="application/vnd.ms-excel.person+xml"/>
  <Override PartName="/xl/persons/person8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2/Estfros/Diciembre/"/>
    </mc:Choice>
  </mc:AlternateContent>
  <xr:revisionPtr revIDLastSave="0" documentId="13_ncr:1_{32D1E44F-D522-459C-AA57-2905C0212552}" xr6:coauthVersionLast="47" xr6:coauthVersionMax="47" xr10:uidLastSave="{00000000-0000-0000-0000-000000000000}"/>
  <bookViews>
    <workbookView xWindow="-120" yWindow="-120" windowWidth="20730" windowHeight="11160" xr2:uid="{8E7A32EE-77C1-49B1-AC05-7D92B0B48E95}"/>
  </bookViews>
  <sheets>
    <sheet name="Ejecucuion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Ejecucuion!$A$6:$AS$92</definedName>
    <definedName name="_xlnm.Print_Area" localSheetId="0">Ejecucuion!$A$1:$Q$92</definedName>
    <definedName name="_xlnm.Print_Titles" localSheetId="0">Ejecucuion!$1:$6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9" l="1"/>
  <c r="B88" i="9"/>
  <c r="AN7" i="9"/>
  <c r="AO89" i="9"/>
  <c r="AO88" i="9"/>
  <c r="AN89" i="9"/>
  <c r="AN88" i="9"/>
  <c r="AN87" i="9"/>
  <c r="AN86" i="9"/>
  <c r="AN85" i="9"/>
  <c r="AN84" i="9"/>
  <c r="AN83" i="9"/>
  <c r="AN82" i="9"/>
  <c r="AN81" i="9"/>
  <c r="AN80" i="9"/>
  <c r="AN79" i="9"/>
  <c r="AN78" i="9"/>
  <c r="AN77" i="9"/>
  <c r="AN76" i="9"/>
  <c r="AN75" i="9"/>
  <c r="AN74" i="9"/>
  <c r="AN73" i="9"/>
  <c r="AN72" i="9"/>
  <c r="AN71" i="9"/>
  <c r="AN70" i="9"/>
  <c r="AN69" i="9"/>
  <c r="AN68" i="9"/>
  <c r="AN67" i="9"/>
  <c r="AN66" i="9"/>
  <c r="AN65" i="9"/>
  <c r="AN64" i="9"/>
  <c r="AN63" i="9"/>
  <c r="AN62" i="9"/>
  <c r="AN61" i="9"/>
  <c r="AN60" i="9"/>
  <c r="AN59" i="9"/>
  <c r="AN58" i="9"/>
  <c r="AN57" i="9"/>
  <c r="AN56" i="9"/>
  <c r="AN55" i="9"/>
  <c r="AN54" i="9"/>
  <c r="AN53" i="9"/>
  <c r="AN52" i="9"/>
  <c r="AN51" i="9"/>
  <c r="AN50" i="9"/>
  <c r="AN49" i="9"/>
  <c r="AN48" i="9"/>
  <c r="AN47" i="9"/>
  <c r="AN46" i="9"/>
  <c r="AN45" i="9"/>
  <c r="AN44" i="9"/>
  <c r="AN43" i="9"/>
  <c r="AN42" i="9"/>
  <c r="AN41" i="9"/>
  <c r="AN40" i="9"/>
  <c r="AN39" i="9"/>
  <c r="AN38" i="9"/>
  <c r="AN37" i="9"/>
  <c r="AN34" i="9"/>
  <c r="AN33" i="9"/>
  <c r="AN32" i="9"/>
  <c r="AN31" i="9"/>
  <c r="AN30" i="9"/>
  <c r="AN29" i="9"/>
  <c r="AN28" i="9"/>
  <c r="AN27" i="9"/>
  <c r="AN26" i="9"/>
  <c r="AN22" i="9"/>
  <c r="AN18" i="9"/>
  <c r="AN17" i="9"/>
  <c r="AN16" i="9"/>
  <c r="AN15" i="9"/>
  <c r="AN14" i="9"/>
  <c r="AN8" i="9"/>
  <c r="AN10" i="9"/>
  <c r="AN11" i="9"/>
  <c r="AM89" i="9"/>
  <c r="AM88" i="9"/>
  <c r="AK29" i="9"/>
  <c r="AK41" i="9"/>
  <c r="AK14" i="9"/>
  <c r="AK30" i="9"/>
  <c r="AK45" i="9"/>
  <c r="AK27" i="9"/>
  <c r="AK36" i="9"/>
  <c r="AK13" i="9"/>
  <c r="AK15" i="9"/>
  <c r="AK18" i="9"/>
  <c r="AK83" i="9"/>
  <c r="AK39" i="9"/>
  <c r="AK48" i="9"/>
  <c r="AK44" i="9"/>
  <c r="AK65" i="9"/>
  <c r="AK37" i="9"/>
  <c r="AK31" i="9"/>
  <c r="AK25" i="9"/>
  <c r="AK21" i="9"/>
  <c r="AJ87" i="9" l="1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8" i="9"/>
  <c r="AJ67" i="9"/>
  <c r="AJ66" i="9"/>
  <c r="AJ65" i="9"/>
  <c r="AJ64" i="9"/>
  <c r="AJ63" i="9"/>
  <c r="AJ62" i="9"/>
  <c r="AJ61" i="9"/>
  <c r="AJ60" i="9"/>
  <c r="AJ59" i="9"/>
  <c r="AJ58" i="9"/>
  <c r="AJ57" i="9"/>
  <c r="AJ56" i="9"/>
  <c r="AJ55" i="9"/>
  <c r="AJ54" i="9"/>
  <c r="AJ53" i="9"/>
  <c r="AJ52" i="9"/>
  <c r="AJ51" i="9"/>
  <c r="AJ50" i="9"/>
  <c r="AJ49" i="9"/>
  <c r="AJ48" i="9"/>
  <c r="AJ47" i="9"/>
  <c r="AJ46" i="9"/>
  <c r="AJ45" i="9"/>
  <c r="AJ44" i="9"/>
  <c r="AJ43" i="9"/>
  <c r="AJ42" i="9"/>
  <c r="AJ41" i="9"/>
  <c r="AJ40" i="9"/>
  <c r="AJ39" i="9"/>
  <c r="AJ38" i="9"/>
  <c r="AJ37" i="9"/>
  <c r="AJ36" i="9"/>
  <c r="AJ34" i="9"/>
  <c r="AJ33" i="9"/>
  <c r="AJ32" i="9"/>
  <c r="AJ31" i="9"/>
  <c r="AJ30" i="9"/>
  <c r="AJ29" i="9"/>
  <c r="AJ28" i="9"/>
  <c r="AJ27" i="9"/>
  <c r="AJ26" i="9"/>
  <c r="AJ25" i="9"/>
  <c r="AJ22" i="9"/>
  <c r="AJ21" i="9"/>
  <c r="AJ18" i="9"/>
  <c r="AJ17" i="9"/>
  <c r="AJ16" i="9"/>
  <c r="AJ15" i="9"/>
  <c r="AJ14" i="9"/>
  <c r="AJ13" i="9"/>
  <c r="AJ11" i="9"/>
  <c r="AJ10" i="9"/>
  <c r="AJ9" i="9"/>
  <c r="AJ8" i="9"/>
  <c r="AJ7" i="9"/>
  <c r="AJ35" i="9" l="1"/>
  <c r="AL89" i="9"/>
  <c r="AL88" i="9"/>
  <c r="AL87" i="9"/>
  <c r="AL86" i="9"/>
  <c r="AL85" i="9"/>
  <c r="AL84" i="9"/>
  <c r="AL83" i="9"/>
  <c r="AL82" i="9"/>
  <c r="AL81" i="9"/>
  <c r="AL80" i="9"/>
  <c r="AL79" i="9"/>
  <c r="AL78" i="9"/>
  <c r="AL77" i="9"/>
  <c r="AL76" i="9"/>
  <c r="AL75" i="9"/>
  <c r="AL74" i="9"/>
  <c r="AL73" i="9"/>
  <c r="AL72" i="9"/>
  <c r="AL71" i="9"/>
  <c r="AL70" i="9"/>
  <c r="AL69" i="9"/>
  <c r="AL68" i="9"/>
  <c r="AL67" i="9"/>
  <c r="AL66" i="9"/>
  <c r="AL65" i="9"/>
  <c r="AL64" i="9"/>
  <c r="AL63" i="9"/>
  <c r="AL62" i="9"/>
  <c r="AL61" i="9"/>
  <c r="AL60" i="9"/>
  <c r="AL59" i="9"/>
  <c r="AL58" i="9"/>
  <c r="AL57" i="9"/>
  <c r="AL56" i="9"/>
  <c r="AL55" i="9"/>
  <c r="AL54" i="9"/>
  <c r="AL53" i="9"/>
  <c r="AL52" i="9"/>
  <c r="AL51" i="9"/>
  <c r="AL50" i="9"/>
  <c r="AL49" i="9"/>
  <c r="AL48" i="9"/>
  <c r="AL47" i="9"/>
  <c r="AL46" i="9"/>
  <c r="AL45" i="9"/>
  <c r="AL44" i="9"/>
  <c r="AL43" i="9"/>
  <c r="AL42" i="9"/>
  <c r="AK90" i="9"/>
  <c r="AL41" i="9"/>
  <c r="AL40" i="9"/>
  <c r="AL39" i="9"/>
  <c r="AL38" i="9"/>
  <c r="AL37" i="9"/>
  <c r="AL36" i="9"/>
  <c r="AL34" i="9"/>
  <c r="AL33" i="9"/>
  <c r="AL32" i="9"/>
  <c r="AL31" i="9"/>
  <c r="AL30" i="9"/>
  <c r="AL29" i="9"/>
  <c r="AL28" i="9"/>
  <c r="AL27" i="9"/>
  <c r="AL26" i="9"/>
  <c r="AK35" i="9"/>
  <c r="AL22" i="9"/>
  <c r="AK23" i="9"/>
  <c r="AJ23" i="9"/>
  <c r="AL18" i="9"/>
  <c r="AL17" i="9"/>
  <c r="AL16" i="9"/>
  <c r="AL15" i="9"/>
  <c r="AL14" i="9"/>
  <c r="AK20" i="9"/>
  <c r="AL11" i="9"/>
  <c r="AL10" i="9"/>
  <c r="AK12" i="9"/>
  <c r="AL8" i="9"/>
  <c r="AH42" i="9"/>
  <c r="AE15" i="9"/>
  <c r="AB15" i="9"/>
  <c r="Y15" i="9"/>
  <c r="V15" i="9"/>
  <c r="S15" i="9"/>
  <c r="P15" i="9"/>
  <c r="AD15" i="9"/>
  <c r="AA15" i="9"/>
  <c r="X15" i="9"/>
  <c r="U15" i="9"/>
  <c r="R15" i="9"/>
  <c r="O15" i="9"/>
  <c r="L15" i="9"/>
  <c r="F15" i="9"/>
  <c r="AH14" i="9"/>
  <c r="AJ20" i="9" l="1"/>
  <c r="AJ12" i="9"/>
  <c r="AL21" i="9"/>
  <c r="AL23" i="9" s="1"/>
  <c r="AL25" i="9"/>
  <c r="AL35" i="9" s="1"/>
  <c r="AQ35" i="9" s="1"/>
  <c r="AL90" i="9"/>
  <c r="AL9" i="9"/>
  <c r="AK24" i="9"/>
  <c r="AK91" i="9" s="1"/>
  <c r="AK92" i="9" s="1"/>
  <c r="AJ24" i="9"/>
  <c r="AJ90" i="9"/>
  <c r="AJ91" i="9" s="1"/>
  <c r="AL7" i="9"/>
  <c r="AL13" i="9"/>
  <c r="AL20" i="9" s="1"/>
  <c r="I15" i="9"/>
  <c r="AQ90" i="9" l="1"/>
  <c r="AL12" i="9"/>
  <c r="AL24" i="9"/>
  <c r="AM95" i="9"/>
  <c r="AH83" i="9"/>
  <c r="AH41" i="9"/>
  <c r="AH84" i="9"/>
  <c r="AH44" i="9"/>
  <c r="AH30" i="9"/>
  <c r="AH28" i="9"/>
  <c r="AH31" i="9"/>
  <c r="AH15" i="9"/>
  <c r="AH29" i="9"/>
  <c r="AH25" i="9"/>
  <c r="AH21" i="9"/>
  <c r="AH18" i="9"/>
  <c r="AH13" i="9"/>
  <c r="AH9" i="9"/>
  <c r="AL91" i="9" l="1"/>
  <c r="AQ24" i="9"/>
  <c r="AJ92" i="9"/>
  <c r="AG87" i="9"/>
  <c r="AG86" i="9"/>
  <c r="AG85" i="9"/>
  <c r="AG84" i="9"/>
  <c r="AG83" i="9"/>
  <c r="AG82" i="9"/>
  <c r="AG81" i="9"/>
  <c r="AG80" i="9"/>
  <c r="AG79" i="9"/>
  <c r="AG78" i="9"/>
  <c r="AG77" i="9"/>
  <c r="AG76" i="9"/>
  <c r="AG75" i="9"/>
  <c r="AG74" i="9"/>
  <c r="AG73" i="9"/>
  <c r="AG72" i="9"/>
  <c r="AG71" i="9"/>
  <c r="AG70" i="9"/>
  <c r="AG69" i="9"/>
  <c r="AG68" i="9"/>
  <c r="AG67" i="9"/>
  <c r="AG66" i="9"/>
  <c r="AG65" i="9"/>
  <c r="AG64" i="9"/>
  <c r="AG63" i="9"/>
  <c r="AG62" i="9"/>
  <c r="AG61" i="9"/>
  <c r="AG60" i="9"/>
  <c r="AG59" i="9"/>
  <c r="AG58" i="9"/>
  <c r="AG57" i="9"/>
  <c r="AG56" i="9"/>
  <c r="AG55" i="9"/>
  <c r="AG54" i="9"/>
  <c r="AG53" i="9"/>
  <c r="AG52" i="9"/>
  <c r="AG51" i="9"/>
  <c r="AG50" i="9"/>
  <c r="AG49" i="9"/>
  <c r="AG48" i="9"/>
  <c r="AG47" i="9"/>
  <c r="AG46" i="9"/>
  <c r="AG45" i="9"/>
  <c r="AG44" i="9"/>
  <c r="AG43" i="9"/>
  <c r="AG42" i="9"/>
  <c r="AG41" i="9"/>
  <c r="AG40" i="9"/>
  <c r="AG39" i="9"/>
  <c r="AG38" i="9"/>
  <c r="AG37" i="9"/>
  <c r="AG36" i="9"/>
  <c r="AG34" i="9"/>
  <c r="AG33" i="9"/>
  <c r="AG32" i="9"/>
  <c r="AG31" i="9"/>
  <c r="AG30" i="9"/>
  <c r="AG29" i="9"/>
  <c r="AG28" i="9"/>
  <c r="AG27" i="9"/>
  <c r="AG26" i="9"/>
  <c r="AG25" i="9"/>
  <c r="AG22" i="9"/>
  <c r="AG21" i="9"/>
  <c r="AG18" i="9"/>
  <c r="AG17" i="9"/>
  <c r="AG16" i="9"/>
  <c r="AG15" i="9"/>
  <c r="AM15" i="9" s="1"/>
  <c r="AG14" i="9"/>
  <c r="AG13" i="9"/>
  <c r="AG8" i="9"/>
  <c r="AG9" i="9"/>
  <c r="AG10" i="9"/>
  <c r="AG11" i="9"/>
  <c r="AG7" i="9"/>
  <c r="AL92" i="9" l="1"/>
  <c r="AQ91" i="9"/>
  <c r="B15" i="9"/>
  <c r="AO15" i="9"/>
  <c r="AH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8" i="9"/>
  <c r="AI67" i="9"/>
  <c r="AI66" i="9"/>
  <c r="AI65" i="9"/>
  <c r="AI64" i="9"/>
  <c r="AI63" i="9"/>
  <c r="AI62" i="9"/>
  <c r="AI61" i="9"/>
  <c r="AI60" i="9"/>
  <c r="AI59" i="9"/>
  <c r="AI58" i="9"/>
  <c r="AI57" i="9"/>
  <c r="AI56" i="9"/>
  <c r="AI55" i="9"/>
  <c r="AI54" i="9"/>
  <c r="AI53" i="9"/>
  <c r="AI52" i="9"/>
  <c r="AI51" i="9"/>
  <c r="AI50" i="9"/>
  <c r="AI49" i="9"/>
  <c r="AI48" i="9"/>
  <c r="AI47" i="9"/>
  <c r="AI46" i="9"/>
  <c r="AI45" i="9"/>
  <c r="AI44" i="9"/>
  <c r="AI43" i="9"/>
  <c r="AI42" i="9"/>
  <c r="AI41" i="9"/>
  <c r="AI40" i="9"/>
  <c r="AI39" i="9"/>
  <c r="AI38" i="9"/>
  <c r="AI37" i="9"/>
  <c r="AI36" i="9"/>
  <c r="AG35" i="9"/>
  <c r="AI34" i="9"/>
  <c r="AI33" i="9"/>
  <c r="AI32" i="9"/>
  <c r="AI31" i="9"/>
  <c r="AI30" i="9"/>
  <c r="AI29" i="9"/>
  <c r="AI28" i="9"/>
  <c r="AI27" i="9"/>
  <c r="AI26" i="9"/>
  <c r="AH35" i="9"/>
  <c r="AG23" i="9"/>
  <c r="AI22" i="9"/>
  <c r="AI21" i="9"/>
  <c r="AG20" i="9"/>
  <c r="AI18" i="9"/>
  <c r="AI17" i="9"/>
  <c r="AI16" i="9"/>
  <c r="AI15" i="9"/>
  <c r="AI14" i="9"/>
  <c r="AI13" i="9"/>
  <c r="AH12" i="9"/>
  <c r="AG12" i="9"/>
  <c r="AI11" i="9"/>
  <c r="AI10" i="9"/>
  <c r="AI9" i="9"/>
  <c r="AI8" i="9"/>
  <c r="AI7" i="9"/>
  <c r="AA14" i="9"/>
  <c r="X14" i="9"/>
  <c r="R14" i="9"/>
  <c r="L14" i="9"/>
  <c r="AI23" i="9" l="1"/>
  <c r="AG24" i="9"/>
  <c r="AI12" i="9"/>
  <c r="AI90" i="9"/>
  <c r="AG90" i="9"/>
  <c r="AI20" i="9"/>
  <c r="AI24" i="9" s="1"/>
  <c r="AH23" i="9"/>
  <c r="AH20" i="9"/>
  <c r="AI25" i="9"/>
  <c r="AI35" i="9" s="1"/>
  <c r="F35" i="9"/>
  <c r="AE37" i="9"/>
  <c r="AE83" i="9"/>
  <c r="AE42" i="9"/>
  <c r="AE44" i="9"/>
  <c r="AE45" i="9"/>
  <c r="AE14" i="9"/>
  <c r="AE27" i="9"/>
  <c r="AE28" i="9"/>
  <c r="AE18" i="9"/>
  <c r="AE34" i="9"/>
  <c r="AE29" i="9"/>
  <c r="AE31" i="9"/>
  <c r="AE30" i="9"/>
  <c r="AG91" i="9" l="1"/>
  <c r="AG92" i="9" s="1"/>
  <c r="AH24" i="9"/>
  <c r="AH91" i="9" s="1"/>
  <c r="AI91" i="9"/>
  <c r="AD39" i="9"/>
  <c r="AI92" i="9" l="1"/>
  <c r="AH92" i="9"/>
  <c r="AF89" i="9"/>
  <c r="AF88" i="9"/>
  <c r="AD87" i="9"/>
  <c r="AF87" i="9" s="1"/>
  <c r="AD86" i="9"/>
  <c r="AF86" i="9" s="1"/>
  <c r="AD85" i="9"/>
  <c r="AF85" i="9" s="1"/>
  <c r="AD84" i="9"/>
  <c r="AF84" i="9" s="1"/>
  <c r="AD83" i="9"/>
  <c r="AF83" i="9" s="1"/>
  <c r="AD82" i="9"/>
  <c r="AF82" i="9" s="1"/>
  <c r="AD81" i="9"/>
  <c r="AF81" i="9" s="1"/>
  <c r="AD80" i="9"/>
  <c r="AF80" i="9" s="1"/>
  <c r="AD79" i="9"/>
  <c r="AF79" i="9" s="1"/>
  <c r="AD78" i="9"/>
  <c r="AF78" i="9" s="1"/>
  <c r="AD77" i="9"/>
  <c r="AF77" i="9" s="1"/>
  <c r="AD76" i="9"/>
  <c r="AF76" i="9" s="1"/>
  <c r="AD75" i="9"/>
  <c r="AF75" i="9" s="1"/>
  <c r="AD74" i="9"/>
  <c r="AF74" i="9" s="1"/>
  <c r="AD73" i="9"/>
  <c r="AF73" i="9" s="1"/>
  <c r="AD72" i="9"/>
  <c r="AF72" i="9" s="1"/>
  <c r="AD71" i="9"/>
  <c r="AF71" i="9" s="1"/>
  <c r="AD70" i="9"/>
  <c r="AF70" i="9" s="1"/>
  <c r="AD69" i="9"/>
  <c r="AF69" i="9" s="1"/>
  <c r="AD68" i="9"/>
  <c r="AF68" i="9" s="1"/>
  <c r="AD67" i="9"/>
  <c r="AF67" i="9" s="1"/>
  <c r="AD66" i="9"/>
  <c r="AF66" i="9" s="1"/>
  <c r="AF65" i="9"/>
  <c r="AD64" i="9"/>
  <c r="AF64" i="9" s="1"/>
  <c r="AD63" i="9"/>
  <c r="AF63" i="9" s="1"/>
  <c r="AF62" i="9"/>
  <c r="AD61" i="9"/>
  <c r="AF61" i="9" s="1"/>
  <c r="AD60" i="9"/>
  <c r="AF60" i="9" s="1"/>
  <c r="AD59" i="9"/>
  <c r="AF59" i="9" s="1"/>
  <c r="AD58" i="9"/>
  <c r="AF58" i="9" s="1"/>
  <c r="AF57" i="9"/>
  <c r="AD56" i="9"/>
  <c r="AF56" i="9" s="1"/>
  <c r="AD55" i="9"/>
  <c r="AF55" i="9" s="1"/>
  <c r="AD54" i="9"/>
  <c r="AF54" i="9" s="1"/>
  <c r="AD53" i="9"/>
  <c r="AF53" i="9" s="1"/>
  <c r="AD52" i="9"/>
  <c r="AF52" i="9" s="1"/>
  <c r="AD51" i="9"/>
  <c r="AF51" i="9" s="1"/>
  <c r="AD50" i="9"/>
  <c r="AF50" i="9" s="1"/>
  <c r="AD49" i="9"/>
  <c r="AF49" i="9" s="1"/>
  <c r="AD48" i="9"/>
  <c r="AF48" i="9" s="1"/>
  <c r="AD47" i="9"/>
  <c r="AF47" i="9" s="1"/>
  <c r="AF46" i="9"/>
  <c r="AD45" i="9"/>
  <c r="AF45" i="9" s="1"/>
  <c r="AD44" i="9"/>
  <c r="AF44" i="9" s="1"/>
  <c r="AD43" i="9"/>
  <c r="AF43" i="9" s="1"/>
  <c r="AD42" i="9"/>
  <c r="AF42" i="9" s="1"/>
  <c r="AD41" i="9"/>
  <c r="AF41" i="9" s="1"/>
  <c r="AF40" i="9"/>
  <c r="AF39" i="9"/>
  <c r="AD38" i="9"/>
  <c r="AF38" i="9" s="1"/>
  <c r="AE90" i="9"/>
  <c r="AD37" i="9"/>
  <c r="AD36" i="9"/>
  <c r="AF34" i="9"/>
  <c r="AF33" i="9"/>
  <c r="AF32" i="9"/>
  <c r="AF31" i="9"/>
  <c r="AF30" i="9"/>
  <c r="AF29" i="9"/>
  <c r="AF28" i="9"/>
  <c r="AF27" i="9"/>
  <c r="AF26" i="9"/>
  <c r="AF22" i="9"/>
  <c r="AF18" i="9"/>
  <c r="AF17" i="9"/>
  <c r="AF16" i="9"/>
  <c r="AF15" i="9"/>
  <c r="AF14" i="9"/>
  <c r="AD20" i="9"/>
  <c r="AE12" i="9"/>
  <c r="AF11" i="9"/>
  <c r="AF10" i="9"/>
  <c r="AF9" i="9"/>
  <c r="AF8" i="9"/>
  <c r="AD12" i="9"/>
  <c r="AB83" i="9"/>
  <c r="AD90" i="9" l="1"/>
  <c r="AF7" i="9"/>
  <c r="AF12" i="9" s="1"/>
  <c r="AD35" i="9"/>
  <c r="AF37" i="9"/>
  <c r="AD23" i="9"/>
  <c r="AD24" i="9" s="1"/>
  <c r="AF36" i="9"/>
  <c r="AB44" i="9"/>
  <c r="AB37" i="9"/>
  <c r="AB36" i="9"/>
  <c r="AD91" i="9" l="1"/>
  <c r="AF90" i="9"/>
  <c r="AC89" i="9"/>
  <c r="AC88" i="9"/>
  <c r="Y30" i="9"/>
  <c r="AB45" i="9"/>
  <c r="AB27" i="9"/>
  <c r="AB29" i="9"/>
  <c r="AB31" i="9"/>
  <c r="AB30" i="9"/>
  <c r="AB18" i="9"/>
  <c r="AB25" i="9"/>
  <c r="AB21" i="9"/>
  <c r="AB14" i="9"/>
  <c r="AB13" i="9"/>
  <c r="AB9" i="9"/>
  <c r="AB8" i="9"/>
  <c r="AB90" i="9"/>
  <c r="AA87" i="9"/>
  <c r="AC87" i="9" s="1"/>
  <c r="AA86" i="9"/>
  <c r="AC86" i="9" s="1"/>
  <c r="AA85" i="9"/>
  <c r="AC85" i="9" s="1"/>
  <c r="AA84" i="9"/>
  <c r="AC84" i="9" s="1"/>
  <c r="AA83" i="9"/>
  <c r="AC83" i="9" s="1"/>
  <c r="AA82" i="9"/>
  <c r="AC82" i="9" s="1"/>
  <c r="AA81" i="9"/>
  <c r="AC81" i="9" s="1"/>
  <c r="AA80" i="9"/>
  <c r="AC80" i="9" s="1"/>
  <c r="AA79" i="9"/>
  <c r="AC79" i="9" s="1"/>
  <c r="AA78" i="9"/>
  <c r="AC78" i="9" s="1"/>
  <c r="AA77" i="9"/>
  <c r="AC77" i="9" s="1"/>
  <c r="AA76" i="9"/>
  <c r="AC76" i="9" s="1"/>
  <c r="AA75" i="9"/>
  <c r="AC75" i="9" s="1"/>
  <c r="AA74" i="9"/>
  <c r="AC74" i="9" s="1"/>
  <c r="AA73" i="9"/>
  <c r="AC73" i="9" s="1"/>
  <c r="AA72" i="9"/>
  <c r="AC72" i="9" s="1"/>
  <c r="AA71" i="9"/>
  <c r="AC71" i="9" s="1"/>
  <c r="AA70" i="9"/>
  <c r="AC70" i="9" s="1"/>
  <c r="AA69" i="9"/>
  <c r="AC69" i="9" s="1"/>
  <c r="AA68" i="9"/>
  <c r="AC68" i="9" s="1"/>
  <c r="AA67" i="9"/>
  <c r="AC67" i="9" s="1"/>
  <c r="AA66" i="9"/>
  <c r="AC66" i="9" s="1"/>
  <c r="AA65" i="9"/>
  <c r="AC65" i="9" s="1"/>
  <c r="AA64" i="9"/>
  <c r="AC64" i="9" s="1"/>
  <c r="AA63" i="9"/>
  <c r="AC63" i="9" s="1"/>
  <c r="AA62" i="9"/>
  <c r="AC62" i="9" s="1"/>
  <c r="AA61" i="9"/>
  <c r="AC61" i="9" s="1"/>
  <c r="AA60" i="9"/>
  <c r="AC60" i="9" s="1"/>
  <c r="AA59" i="9"/>
  <c r="AC59" i="9" s="1"/>
  <c r="AA58" i="9"/>
  <c r="AC58" i="9" s="1"/>
  <c r="AA57" i="9"/>
  <c r="AC57" i="9" s="1"/>
  <c r="AA56" i="9"/>
  <c r="AC56" i="9" s="1"/>
  <c r="AA55" i="9"/>
  <c r="AC55" i="9" s="1"/>
  <c r="AA54" i="9"/>
  <c r="AC54" i="9" s="1"/>
  <c r="AA53" i="9"/>
  <c r="AC53" i="9" s="1"/>
  <c r="AA52" i="9"/>
  <c r="AC52" i="9" s="1"/>
  <c r="AA51" i="9"/>
  <c r="AC51" i="9" s="1"/>
  <c r="AA50" i="9"/>
  <c r="AC50" i="9" s="1"/>
  <c r="AA49" i="9"/>
  <c r="AC49" i="9" s="1"/>
  <c r="AA48" i="9"/>
  <c r="AC48" i="9" s="1"/>
  <c r="AA47" i="9"/>
  <c r="AC47" i="9" s="1"/>
  <c r="AA46" i="9"/>
  <c r="AC46" i="9" s="1"/>
  <c r="AA45" i="9"/>
  <c r="AA44" i="9"/>
  <c r="AC44" i="9" s="1"/>
  <c r="AA43" i="9"/>
  <c r="AC43" i="9" s="1"/>
  <c r="AA42" i="9"/>
  <c r="AC42" i="9" s="1"/>
  <c r="AA41" i="9"/>
  <c r="AC41" i="9" s="1"/>
  <c r="AA40" i="9"/>
  <c r="AC40" i="9" s="1"/>
  <c r="AA39" i="9"/>
  <c r="AC39" i="9" s="1"/>
  <c r="AA38" i="9"/>
  <c r="AC38" i="9" s="1"/>
  <c r="AA37" i="9"/>
  <c r="AC37" i="9" s="1"/>
  <c r="AA36" i="9"/>
  <c r="AA34" i="9"/>
  <c r="AC34" i="9" s="1"/>
  <c r="AA33" i="9"/>
  <c r="AC33" i="9" s="1"/>
  <c r="AA32" i="9"/>
  <c r="AC32" i="9" s="1"/>
  <c r="AA31" i="9"/>
  <c r="AA30" i="9"/>
  <c r="AA29" i="9"/>
  <c r="AA28" i="9"/>
  <c r="AC28" i="9" s="1"/>
  <c r="AA27" i="9"/>
  <c r="AC27" i="9" s="1"/>
  <c r="AA26" i="9"/>
  <c r="AC26" i="9" s="1"/>
  <c r="AA25" i="9"/>
  <c r="AB23" i="9"/>
  <c r="AA22" i="9"/>
  <c r="AC22" i="9" s="1"/>
  <c r="AA21" i="9"/>
  <c r="AA18" i="9"/>
  <c r="AC18" i="9" s="1"/>
  <c r="AA17" i="9"/>
  <c r="AC17" i="9" s="1"/>
  <c r="AA16" i="9"/>
  <c r="AC16" i="9" s="1"/>
  <c r="AC14" i="9"/>
  <c r="AA13" i="9"/>
  <c r="AA11" i="9"/>
  <c r="AC11" i="9" s="1"/>
  <c r="AA10" i="9"/>
  <c r="AC10" i="9" s="1"/>
  <c r="AA9" i="9"/>
  <c r="AA8" i="9"/>
  <c r="AC8" i="9" s="1"/>
  <c r="AA7" i="9"/>
  <c r="AC7" i="9" s="1"/>
  <c r="AC29" i="9" l="1"/>
  <c r="AC25" i="9"/>
  <c r="AB35" i="9"/>
  <c r="AC15" i="9"/>
  <c r="AC13" i="9"/>
  <c r="AA90" i="9"/>
  <c r="AD92" i="9"/>
  <c r="AA23" i="9"/>
  <c r="AB20" i="9"/>
  <c r="AB24" i="9" s="1"/>
  <c r="AB12" i="9"/>
  <c r="AC45" i="9"/>
  <c r="AC30" i="9"/>
  <c r="AC9" i="9"/>
  <c r="AC12" i="9" s="1"/>
  <c r="AA20" i="9"/>
  <c r="AC31" i="9"/>
  <c r="AA35" i="9"/>
  <c r="AC21" i="9"/>
  <c r="AC23" i="9" s="1"/>
  <c r="AC36" i="9"/>
  <c r="AA12" i="9"/>
  <c r="AC35" i="9" l="1"/>
  <c r="AC20" i="9"/>
  <c r="AC24" i="9" s="1"/>
  <c r="AB91" i="9"/>
  <c r="AB92" i="9" s="1"/>
  <c r="AA24" i="9"/>
  <c r="AA91" i="9" s="1"/>
  <c r="AA92" i="9" s="1"/>
  <c r="AC90" i="9"/>
  <c r="Y83" i="9"/>
  <c r="Y44" i="9"/>
  <c r="Z88" i="9"/>
  <c r="Z89" i="9"/>
  <c r="Y27" i="9"/>
  <c r="Y13" i="9"/>
  <c r="Y28" i="9"/>
  <c r="Y29" i="9"/>
  <c r="Y31" i="9"/>
  <c r="Y25" i="9"/>
  <c r="Y21" i="9"/>
  <c r="Y22" i="9"/>
  <c r="Y14" i="9"/>
  <c r="Y18" i="9"/>
  <c r="Y9" i="9"/>
  <c r="AC91" i="9" l="1"/>
  <c r="AC92" i="9" s="1"/>
  <c r="Y10" i="9"/>
  <c r="Y8" i="9"/>
  <c r="X87" i="9"/>
  <c r="X86" i="9"/>
  <c r="X85" i="9"/>
  <c r="X84" i="9"/>
  <c r="X83" i="9"/>
  <c r="X82" i="9"/>
  <c r="X81" i="9"/>
  <c r="X80" i="9"/>
  <c r="X79" i="9"/>
  <c r="X78" i="9"/>
  <c r="X77" i="9"/>
  <c r="X76" i="9"/>
  <c r="X75" i="9"/>
  <c r="X74" i="9"/>
  <c r="X73" i="9"/>
  <c r="X72" i="9"/>
  <c r="X71" i="9"/>
  <c r="X70" i="9"/>
  <c r="X69" i="9"/>
  <c r="X68" i="9"/>
  <c r="X67" i="9"/>
  <c r="X66" i="9"/>
  <c r="X65" i="9"/>
  <c r="X64" i="9"/>
  <c r="X63" i="9"/>
  <c r="X62" i="9"/>
  <c r="X61" i="9"/>
  <c r="X60" i="9"/>
  <c r="X59" i="9"/>
  <c r="X58" i="9"/>
  <c r="X57" i="9"/>
  <c r="X56" i="9"/>
  <c r="X55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41" i="9"/>
  <c r="X40" i="9"/>
  <c r="X39" i="9"/>
  <c r="X38" i="9"/>
  <c r="X37" i="9"/>
  <c r="X36" i="9"/>
  <c r="X34" i="9"/>
  <c r="X33" i="9"/>
  <c r="X32" i="9"/>
  <c r="X31" i="9"/>
  <c r="X30" i="9"/>
  <c r="X29" i="9"/>
  <c r="X28" i="9"/>
  <c r="X27" i="9"/>
  <c r="X26" i="9"/>
  <c r="X25" i="9"/>
  <c r="X21" i="9"/>
  <c r="X16" i="9"/>
  <c r="X17" i="9"/>
  <c r="X18" i="9"/>
  <c r="X13" i="9"/>
  <c r="X8" i="9"/>
  <c r="AM8" i="9" s="1"/>
  <c r="AO8" i="9" s="1"/>
  <c r="X9" i="9"/>
  <c r="AM9" i="9" s="1"/>
  <c r="X10" i="9"/>
  <c r="AM10" i="9" s="1"/>
  <c r="AO10" i="9" s="1"/>
  <c r="X11" i="9"/>
  <c r="AM11" i="9" s="1"/>
  <c r="AO11" i="9" s="1"/>
  <c r="X7" i="9"/>
  <c r="AM7" i="9" s="1"/>
  <c r="AO7" i="9" s="1"/>
  <c r="AP8" i="9" l="1"/>
  <c r="AP11" i="9"/>
  <c r="AP10" i="9"/>
  <c r="AP7" i="9"/>
  <c r="Z87" i="9"/>
  <c r="Z86" i="9"/>
  <c r="Z85" i="9"/>
  <c r="Z84" i="9"/>
  <c r="Z82" i="9"/>
  <c r="Z81" i="9"/>
  <c r="Z80" i="9"/>
  <c r="Z79" i="9"/>
  <c r="Z78" i="9"/>
  <c r="Z77" i="9"/>
  <c r="Z76" i="9"/>
  <c r="Z75" i="9"/>
  <c r="Z74" i="9"/>
  <c r="Z73" i="9"/>
  <c r="Z72" i="9"/>
  <c r="Z71" i="9"/>
  <c r="Z70" i="9"/>
  <c r="Z69" i="9"/>
  <c r="Z68" i="9"/>
  <c r="Z67" i="9"/>
  <c r="Z66" i="9"/>
  <c r="Z65" i="9"/>
  <c r="Z64" i="9"/>
  <c r="Z63" i="9"/>
  <c r="Z62" i="9"/>
  <c r="Z61" i="9"/>
  <c r="Z60" i="9"/>
  <c r="Z59" i="9"/>
  <c r="Z58" i="9"/>
  <c r="Z57" i="9"/>
  <c r="Z56" i="9"/>
  <c r="Z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41" i="9"/>
  <c r="Z40" i="9"/>
  <c r="Z39" i="9"/>
  <c r="Z38" i="9"/>
  <c r="Z37" i="9"/>
  <c r="X90" i="9"/>
  <c r="Y35" i="9"/>
  <c r="Z34" i="9"/>
  <c r="Z33" i="9"/>
  <c r="Z32" i="9"/>
  <c r="Z31" i="9"/>
  <c r="Z30" i="9"/>
  <c r="Z29" i="9"/>
  <c r="Z28" i="9"/>
  <c r="Z27" i="9"/>
  <c r="Z26" i="9"/>
  <c r="X22" i="9"/>
  <c r="X23" i="9" s="1"/>
  <c r="Y23" i="9"/>
  <c r="Z18" i="9"/>
  <c r="Z17" i="9"/>
  <c r="Z16" i="9"/>
  <c r="Z14" i="9"/>
  <c r="Y20" i="9"/>
  <c r="X12" i="9"/>
  <c r="Z11" i="9"/>
  <c r="Z10" i="9"/>
  <c r="Y12" i="9"/>
  <c r="Z8" i="9"/>
  <c r="Z7" i="9"/>
  <c r="U36" i="9"/>
  <c r="Z22" i="9" l="1"/>
  <c r="Y24" i="9"/>
  <c r="X35" i="9"/>
  <c r="Z25" i="9"/>
  <c r="Z35" i="9" s="1"/>
  <c r="X20" i="9"/>
  <c r="X24" i="9" s="1"/>
  <c r="Z15" i="9"/>
  <c r="Z36" i="9"/>
  <c r="Z83" i="9"/>
  <c r="Z9" i="9"/>
  <c r="Z12" i="9" s="1"/>
  <c r="Z13" i="9"/>
  <c r="Y90" i="9"/>
  <c r="Z21" i="9"/>
  <c r="V25" i="9"/>
  <c r="V37" i="9"/>
  <c r="V36" i="9"/>
  <c r="V45" i="9"/>
  <c r="X91" i="9" l="1"/>
  <c r="X92" i="9" s="1"/>
  <c r="Z23" i="9"/>
  <c r="Y91" i="9"/>
  <c r="Y92" i="9" s="1"/>
  <c r="Z20" i="9"/>
  <c r="Z90" i="9"/>
  <c r="Z24" i="9" l="1"/>
  <c r="Z91" i="9" s="1"/>
  <c r="Z92" i="9" s="1"/>
  <c r="V83" i="9"/>
  <c r="V9" i="9" l="1"/>
  <c r="AN9" i="9" s="1"/>
  <c r="AO9" i="9" s="1"/>
  <c r="U87" i="9"/>
  <c r="AM87" i="9" s="1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4" i="9"/>
  <c r="U33" i="9"/>
  <c r="U32" i="9"/>
  <c r="U31" i="9"/>
  <c r="U30" i="9"/>
  <c r="U29" i="9"/>
  <c r="U28" i="9"/>
  <c r="U27" i="9"/>
  <c r="U26" i="9"/>
  <c r="U25" i="9"/>
  <c r="U22" i="9"/>
  <c r="U21" i="9"/>
  <c r="U18" i="9"/>
  <c r="U17" i="9"/>
  <c r="U16" i="9"/>
  <c r="U14" i="9"/>
  <c r="U13" i="9"/>
  <c r="B87" i="9" l="1"/>
  <c r="AO87" i="9"/>
  <c r="AP9" i="9"/>
  <c r="U90" i="9"/>
  <c r="W89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U35" i="9"/>
  <c r="W34" i="9"/>
  <c r="W33" i="9"/>
  <c r="W32" i="9"/>
  <c r="W31" i="9"/>
  <c r="W30" i="9"/>
  <c r="W29" i="9"/>
  <c r="W28" i="9"/>
  <c r="W27" i="9"/>
  <c r="W26" i="9"/>
  <c r="U23" i="9"/>
  <c r="W22" i="9"/>
  <c r="W18" i="9"/>
  <c r="W17" i="9"/>
  <c r="W16" i="9"/>
  <c r="W15" i="9"/>
  <c r="U20" i="9"/>
  <c r="V12" i="9"/>
  <c r="U12" i="9"/>
  <c r="W11" i="9"/>
  <c r="W10" i="9"/>
  <c r="W9" i="9"/>
  <c r="W8" i="9"/>
  <c r="W7" i="9"/>
  <c r="AO12" i="9" l="1"/>
  <c r="U24" i="9"/>
  <c r="U91" i="9" s="1"/>
  <c r="U92" i="9" s="1"/>
  <c r="W90" i="9"/>
  <c r="W12" i="9"/>
  <c r="V90" i="9"/>
  <c r="W14" i="9"/>
  <c r="T7" i="9"/>
  <c r="L87" i="9"/>
  <c r="T34" i="9"/>
  <c r="T33" i="9"/>
  <c r="T32" i="9"/>
  <c r="T28" i="9"/>
  <c r="T27" i="9"/>
  <c r="T26" i="9"/>
  <c r="T22" i="9"/>
  <c r="T17" i="9"/>
  <c r="T16" i="9"/>
  <c r="T11" i="9"/>
  <c r="T10" i="9"/>
  <c r="T9" i="9"/>
  <c r="T8" i="9"/>
  <c r="S83" i="9"/>
  <c r="T87" i="9"/>
  <c r="K87" i="9"/>
  <c r="H87" i="9"/>
  <c r="E87" i="9"/>
  <c r="S36" i="9"/>
  <c r="S25" i="9"/>
  <c r="T25" i="9" s="1"/>
  <c r="S21" i="9"/>
  <c r="T21" i="9" s="1"/>
  <c r="S13" i="9"/>
  <c r="T13" i="9" s="1"/>
  <c r="O87" i="9" l="1"/>
  <c r="N87" i="9"/>
  <c r="Q87" i="9"/>
  <c r="S18" i="9"/>
  <c r="T18" i="9" s="1"/>
  <c r="S23" i="9"/>
  <c r="S90" i="9"/>
  <c r="S29" i="9"/>
  <c r="S30" i="9"/>
  <c r="T30" i="9" s="1"/>
  <c r="S31" i="9"/>
  <c r="T31" i="9" s="1"/>
  <c r="S14" i="9"/>
  <c r="T89" i="9"/>
  <c r="T86" i="9"/>
  <c r="T85" i="9"/>
  <c r="T84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T43" i="9"/>
  <c r="T42" i="9"/>
  <c r="T41" i="9"/>
  <c r="T40" i="9"/>
  <c r="T39" i="9"/>
  <c r="T38" i="9"/>
  <c r="T37" i="9"/>
  <c r="T36" i="9"/>
  <c r="S12" i="9"/>
  <c r="R90" i="9"/>
  <c r="R35" i="9"/>
  <c r="R23" i="9"/>
  <c r="R12" i="9"/>
  <c r="AP87" i="9" l="1"/>
  <c r="T15" i="9"/>
  <c r="S20" i="9"/>
  <c r="S24" i="9" s="1"/>
  <c r="S35" i="9"/>
  <c r="T29" i="9"/>
  <c r="T35" i="9" s="1"/>
  <c r="T23" i="9"/>
  <c r="T12" i="9"/>
  <c r="T83" i="9"/>
  <c r="T90" i="9" s="1"/>
  <c r="S91" i="9" l="1"/>
  <c r="S92" i="9" s="1"/>
  <c r="T14" i="9" l="1"/>
  <c r="T20" i="9" s="1"/>
  <c r="T24" i="9" s="1"/>
  <c r="T91" i="9" s="1"/>
  <c r="T92" i="9" s="1"/>
  <c r="R20" i="9"/>
  <c r="R24" i="9" s="1"/>
  <c r="R91" i="9" s="1"/>
  <c r="R92" i="9" s="1"/>
  <c r="P36" i="9" l="1"/>
  <c r="P44" i="9"/>
  <c r="P83" i="9"/>
  <c r="P30" i="9"/>
  <c r="P31" i="9"/>
  <c r="P14" i="9"/>
  <c r="P18" i="9"/>
  <c r="P25" i="9"/>
  <c r="P21" i="9"/>
  <c r="P13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4" i="9"/>
  <c r="O33" i="9"/>
  <c r="O32" i="9"/>
  <c r="O31" i="9"/>
  <c r="O30" i="9"/>
  <c r="O29" i="9"/>
  <c r="O28" i="9"/>
  <c r="O27" i="9"/>
  <c r="O26" i="9"/>
  <c r="O25" i="9"/>
  <c r="O22" i="9"/>
  <c r="O21" i="9"/>
  <c r="O18" i="9"/>
  <c r="O17" i="9"/>
  <c r="O16" i="9"/>
  <c r="O14" i="9"/>
  <c r="AM14" i="9" s="1"/>
  <c r="O13" i="9"/>
  <c r="B14" i="9" l="1"/>
  <c r="AO14" i="9"/>
  <c r="Q89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P90" i="9"/>
  <c r="Q34" i="9"/>
  <c r="Q33" i="9"/>
  <c r="Q32" i="9"/>
  <c r="Q31" i="9"/>
  <c r="Q30" i="9"/>
  <c r="Q29" i="9"/>
  <c r="Q28" i="9"/>
  <c r="Q27" i="9"/>
  <c r="Q26" i="9"/>
  <c r="P35" i="9"/>
  <c r="O35" i="9"/>
  <c r="Q22" i="9"/>
  <c r="P23" i="9"/>
  <c r="O23" i="9"/>
  <c r="Q17" i="9"/>
  <c r="Q16" i="9"/>
  <c r="Q15" i="9"/>
  <c r="Q14" i="9"/>
  <c r="P20" i="9"/>
  <c r="Q13" i="9"/>
  <c r="P12" i="9"/>
  <c r="O12" i="9"/>
  <c r="Q11" i="9"/>
  <c r="Q10" i="9"/>
  <c r="Q9" i="9"/>
  <c r="Q8" i="9"/>
  <c r="Q7" i="9"/>
  <c r="M30" i="9"/>
  <c r="M29" i="9"/>
  <c r="Q12" i="9" l="1"/>
  <c r="O90" i="9"/>
  <c r="Q18" i="9"/>
  <c r="Q20" i="9" s="1"/>
  <c r="Q25" i="9"/>
  <c r="Q35" i="9" s="1"/>
  <c r="P24" i="9"/>
  <c r="P91" i="9" s="1"/>
  <c r="P92" i="9" s="1"/>
  <c r="Q21" i="9"/>
  <c r="Q23" i="9" s="1"/>
  <c r="Q36" i="9"/>
  <c r="Q90" i="9" s="1"/>
  <c r="O20" i="9"/>
  <c r="O24" i="9" s="1"/>
  <c r="N11" i="9"/>
  <c r="N10" i="9"/>
  <c r="N9" i="9"/>
  <c r="N8" i="9"/>
  <c r="N7" i="9"/>
  <c r="K89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4" i="9"/>
  <c r="K33" i="9"/>
  <c r="K32" i="9"/>
  <c r="K31" i="9"/>
  <c r="K30" i="9"/>
  <c r="K29" i="9"/>
  <c r="K28" i="9"/>
  <c r="K27" i="9"/>
  <c r="K26" i="9"/>
  <c r="K25" i="9"/>
  <c r="K18" i="9"/>
  <c r="K17" i="9"/>
  <c r="K16" i="9"/>
  <c r="K13" i="9"/>
  <c r="K11" i="9"/>
  <c r="K10" i="9"/>
  <c r="K9" i="9"/>
  <c r="K8" i="9"/>
  <c r="K7" i="9"/>
  <c r="O91" i="9" l="1"/>
  <c r="O92" i="9" s="1"/>
  <c r="Q24" i="9"/>
  <c r="Q91" i="9" s="1"/>
  <c r="Q92" i="9" s="1"/>
  <c r="K90" i="9"/>
  <c r="N12" i="9"/>
  <c r="K35" i="9"/>
  <c r="K12" i="9"/>
  <c r="M37" i="9" l="1"/>
  <c r="M15" i="9"/>
  <c r="M21" i="9"/>
  <c r="M27" i="9"/>
  <c r="M14" i="9"/>
  <c r="M45" i="9"/>
  <c r="M44" i="9"/>
  <c r="M22" i="9"/>
  <c r="M18" i="9"/>
  <c r="M36" i="9" l="1"/>
  <c r="AN36" i="9" s="1"/>
  <c r="AM12" i="9"/>
  <c r="M31" i="9"/>
  <c r="L86" i="9"/>
  <c r="AM86" i="9" s="1"/>
  <c r="L85" i="9"/>
  <c r="AM85" i="9" s="1"/>
  <c r="L84" i="9"/>
  <c r="AM84" i="9" s="1"/>
  <c r="L83" i="9"/>
  <c r="AM83" i="9" s="1"/>
  <c r="L82" i="9"/>
  <c r="AM82" i="9" s="1"/>
  <c r="L81" i="9"/>
  <c r="AM81" i="9" s="1"/>
  <c r="L80" i="9"/>
  <c r="AM80" i="9" s="1"/>
  <c r="L79" i="9"/>
  <c r="AM79" i="9" s="1"/>
  <c r="L78" i="9"/>
  <c r="AM78" i="9" s="1"/>
  <c r="L77" i="9"/>
  <c r="AM77" i="9" s="1"/>
  <c r="L76" i="9"/>
  <c r="AM76" i="9" s="1"/>
  <c r="L75" i="9"/>
  <c r="AM75" i="9" s="1"/>
  <c r="L74" i="9"/>
  <c r="AM74" i="9" s="1"/>
  <c r="L73" i="9"/>
  <c r="AM73" i="9" s="1"/>
  <c r="L72" i="9"/>
  <c r="AM72" i="9" s="1"/>
  <c r="L71" i="9"/>
  <c r="AM71" i="9" s="1"/>
  <c r="L70" i="9"/>
  <c r="AM70" i="9" s="1"/>
  <c r="L69" i="9"/>
  <c r="AM69" i="9" s="1"/>
  <c r="L68" i="9"/>
  <c r="AM68" i="9" s="1"/>
  <c r="L67" i="9"/>
  <c r="AM67" i="9" s="1"/>
  <c r="L66" i="9"/>
  <c r="AM66" i="9" s="1"/>
  <c r="L65" i="9"/>
  <c r="AM65" i="9" s="1"/>
  <c r="L64" i="9"/>
  <c r="AM64" i="9" s="1"/>
  <c r="L63" i="9"/>
  <c r="AM63" i="9" s="1"/>
  <c r="L62" i="9"/>
  <c r="AM62" i="9" s="1"/>
  <c r="L61" i="9"/>
  <c r="AM61" i="9" s="1"/>
  <c r="L60" i="9"/>
  <c r="AM60" i="9" s="1"/>
  <c r="L59" i="9"/>
  <c r="AM59" i="9" s="1"/>
  <c r="L58" i="9"/>
  <c r="AM58" i="9" s="1"/>
  <c r="L57" i="9"/>
  <c r="AM57" i="9" s="1"/>
  <c r="L56" i="9"/>
  <c r="AM56" i="9" s="1"/>
  <c r="L55" i="9"/>
  <c r="AM55" i="9" s="1"/>
  <c r="L54" i="9"/>
  <c r="AM54" i="9" s="1"/>
  <c r="L53" i="9"/>
  <c r="AM53" i="9" s="1"/>
  <c r="L52" i="9"/>
  <c r="AM52" i="9" s="1"/>
  <c r="L51" i="9"/>
  <c r="AM51" i="9" s="1"/>
  <c r="L50" i="9"/>
  <c r="AM50" i="9" s="1"/>
  <c r="L49" i="9"/>
  <c r="AM49" i="9" s="1"/>
  <c r="L48" i="9"/>
  <c r="AM48" i="9" s="1"/>
  <c r="L47" i="9"/>
  <c r="AM47" i="9" s="1"/>
  <c r="L46" i="9"/>
  <c r="AM46" i="9" s="1"/>
  <c r="L45" i="9"/>
  <c r="AM45" i="9" s="1"/>
  <c r="L44" i="9"/>
  <c r="AM44" i="9" s="1"/>
  <c r="L43" i="9"/>
  <c r="AM43" i="9" s="1"/>
  <c r="L42" i="9"/>
  <c r="AM42" i="9" s="1"/>
  <c r="L41" i="9"/>
  <c r="AM41" i="9" s="1"/>
  <c r="L40" i="9"/>
  <c r="AM40" i="9" s="1"/>
  <c r="L39" i="9"/>
  <c r="AM39" i="9" s="1"/>
  <c r="L38" i="9"/>
  <c r="AM38" i="9" s="1"/>
  <c r="L37" i="9"/>
  <c r="AM37" i="9" s="1"/>
  <c r="L36" i="9"/>
  <c r="AM36" i="9" s="1"/>
  <c r="B36" i="9" s="1"/>
  <c r="L34" i="9"/>
  <c r="AM34" i="9" s="1"/>
  <c r="L33" i="9"/>
  <c r="AM33" i="9" s="1"/>
  <c r="L32" i="9"/>
  <c r="AM32" i="9" s="1"/>
  <c r="L31" i="9"/>
  <c r="AM31" i="9" s="1"/>
  <c r="L30" i="9"/>
  <c r="AM30" i="9" s="1"/>
  <c r="L29" i="9"/>
  <c r="AM29" i="9" s="1"/>
  <c r="L28" i="9"/>
  <c r="AM28" i="9" s="1"/>
  <c r="L27" i="9"/>
  <c r="AM27" i="9" s="1"/>
  <c r="L26" i="9"/>
  <c r="AM26" i="9" s="1"/>
  <c r="L25" i="9"/>
  <c r="AM25" i="9" s="1"/>
  <c r="B25" i="9" s="1"/>
  <c r="L22" i="9"/>
  <c r="AM22" i="9" s="1"/>
  <c r="L21" i="9"/>
  <c r="AM21" i="9" s="1"/>
  <c r="B21" i="9" s="1"/>
  <c r="L16" i="9"/>
  <c r="AM16" i="9" s="1"/>
  <c r="L17" i="9"/>
  <c r="AM17" i="9" s="1"/>
  <c r="L18" i="9"/>
  <c r="AM18" i="9" s="1"/>
  <c r="L13" i="9"/>
  <c r="AM13" i="9" s="1"/>
  <c r="B13" i="9" s="1"/>
  <c r="M25" i="9"/>
  <c r="M13" i="9"/>
  <c r="AO42" i="9" l="1"/>
  <c r="B42" i="9"/>
  <c r="AO44" i="9"/>
  <c r="B44" i="9"/>
  <c r="AO56" i="9"/>
  <c r="B56" i="9"/>
  <c r="AO68" i="9"/>
  <c r="B68" i="9"/>
  <c r="AO80" i="9"/>
  <c r="AP80" i="9" s="1"/>
  <c r="B80" i="9"/>
  <c r="B30" i="9"/>
  <c r="AO30" i="9"/>
  <c r="AP30" i="9" s="1"/>
  <c r="AO57" i="9"/>
  <c r="B57" i="9"/>
  <c r="AO69" i="9"/>
  <c r="B69" i="9"/>
  <c r="B81" i="9"/>
  <c r="AO81" i="9"/>
  <c r="AO79" i="9"/>
  <c r="B79" i="9"/>
  <c r="AO46" i="9"/>
  <c r="B46" i="9"/>
  <c r="AO58" i="9"/>
  <c r="AP58" i="9" s="1"/>
  <c r="B58" i="9"/>
  <c r="AO70" i="9"/>
  <c r="B70" i="9"/>
  <c r="AO82" i="9"/>
  <c r="B82" i="9"/>
  <c r="AO29" i="9"/>
  <c r="B29" i="9"/>
  <c r="AO43" i="9"/>
  <c r="B43" i="9"/>
  <c r="AO45" i="9"/>
  <c r="AP45" i="9" s="1"/>
  <c r="B45" i="9"/>
  <c r="B47" i="9"/>
  <c r="AO47" i="9"/>
  <c r="AP47" i="9" s="1"/>
  <c r="B59" i="9"/>
  <c r="AO59" i="9"/>
  <c r="B71" i="9"/>
  <c r="AO71" i="9"/>
  <c r="B83" i="9"/>
  <c r="AO83" i="9"/>
  <c r="AO66" i="9"/>
  <c r="AP66" i="9" s="1"/>
  <c r="B66" i="9"/>
  <c r="AO31" i="9"/>
  <c r="AP31" i="9" s="1"/>
  <c r="B31" i="9"/>
  <c r="AO34" i="9"/>
  <c r="AP34" i="9" s="1"/>
  <c r="B34" i="9"/>
  <c r="B48" i="9"/>
  <c r="AO48" i="9"/>
  <c r="B60" i="9"/>
  <c r="AO60" i="9"/>
  <c r="B72" i="9"/>
  <c r="AO72" i="9"/>
  <c r="B84" i="9"/>
  <c r="AO84" i="9"/>
  <c r="AP84" i="9" s="1"/>
  <c r="AO55" i="9"/>
  <c r="AP55" i="9" s="1"/>
  <c r="B55" i="9"/>
  <c r="B33" i="9"/>
  <c r="AO33" i="9"/>
  <c r="AP33" i="9" s="1"/>
  <c r="B37" i="9"/>
  <c r="AO37" i="9"/>
  <c r="B61" i="9"/>
  <c r="AO61" i="9"/>
  <c r="B73" i="9"/>
  <c r="AO73" i="9"/>
  <c r="AP73" i="9" s="1"/>
  <c r="B85" i="9"/>
  <c r="AO85" i="9"/>
  <c r="AO67" i="9"/>
  <c r="AP67" i="9" s="1"/>
  <c r="B67" i="9"/>
  <c r="AO17" i="9"/>
  <c r="AP17" i="9" s="1"/>
  <c r="B17" i="9"/>
  <c r="B22" i="9"/>
  <c r="AO22" i="9"/>
  <c r="B38" i="9"/>
  <c r="AO38" i="9"/>
  <c r="B50" i="9"/>
  <c r="AO50" i="9"/>
  <c r="B62" i="9"/>
  <c r="AO62" i="9"/>
  <c r="B74" i="9"/>
  <c r="AO74" i="9"/>
  <c r="AP74" i="9" s="1"/>
  <c r="B86" i="9"/>
  <c r="AO86" i="9"/>
  <c r="AP86" i="9" s="1"/>
  <c r="AO54" i="9"/>
  <c r="B54" i="9"/>
  <c r="AO16" i="9"/>
  <c r="B16" i="9"/>
  <c r="B49" i="9"/>
  <c r="AO49" i="9"/>
  <c r="AP49" i="9" s="1"/>
  <c r="B26" i="9"/>
  <c r="AO26" i="9"/>
  <c r="AP26" i="9" s="1"/>
  <c r="B39" i="9"/>
  <c r="AO39" i="9"/>
  <c r="AP39" i="9" s="1"/>
  <c r="B51" i="9"/>
  <c r="AO51" i="9"/>
  <c r="AP51" i="9" s="1"/>
  <c r="B63" i="9"/>
  <c r="AO63" i="9"/>
  <c r="B75" i="9"/>
  <c r="AO75" i="9"/>
  <c r="AP75" i="9" s="1"/>
  <c r="B32" i="9"/>
  <c r="AO32" i="9"/>
  <c r="AP32" i="9" s="1"/>
  <c r="B27" i="9"/>
  <c r="AO27" i="9"/>
  <c r="B40" i="9"/>
  <c r="AO40" i="9"/>
  <c r="AP40" i="9" s="1"/>
  <c r="B52" i="9"/>
  <c r="AO52" i="9"/>
  <c r="AP52" i="9" s="1"/>
  <c r="B64" i="9"/>
  <c r="AO64" i="9"/>
  <c r="B76" i="9"/>
  <c r="AO76" i="9"/>
  <c r="AP76" i="9" s="1"/>
  <c r="AP12" i="9"/>
  <c r="AO78" i="9"/>
  <c r="AP78" i="9" s="1"/>
  <c r="B78" i="9"/>
  <c r="AO18" i="9"/>
  <c r="AP18" i="9" s="1"/>
  <c r="B18" i="9"/>
  <c r="B28" i="9"/>
  <c r="AO28" i="9"/>
  <c r="AP28" i="9" s="1"/>
  <c r="B41" i="9"/>
  <c r="AO41" i="9"/>
  <c r="B53" i="9"/>
  <c r="AO53" i="9"/>
  <c r="AP53" i="9" s="1"/>
  <c r="B65" i="9"/>
  <c r="AO65" i="9"/>
  <c r="AP65" i="9" s="1"/>
  <c r="B77" i="9"/>
  <c r="AO77" i="9"/>
  <c r="AP77" i="9" s="1"/>
  <c r="AO36" i="9"/>
  <c r="AP27" i="9"/>
  <c r="AP44" i="9"/>
  <c r="AP60" i="9"/>
  <c r="AP68" i="9"/>
  <c r="AP41" i="9"/>
  <c r="AP69" i="9"/>
  <c r="AP81" i="9"/>
  <c r="AP38" i="9"/>
  <c r="AP42" i="9"/>
  <c r="AP50" i="9"/>
  <c r="AP54" i="9"/>
  <c r="AP70" i="9"/>
  <c r="AP82" i="9"/>
  <c r="AP48" i="9"/>
  <c r="AP56" i="9"/>
  <c r="AP64" i="9"/>
  <c r="AP72" i="9"/>
  <c r="AP37" i="9"/>
  <c r="AP61" i="9"/>
  <c r="AP16" i="9"/>
  <c r="AP29" i="9"/>
  <c r="AP43" i="9"/>
  <c r="AP59" i="9"/>
  <c r="AP63" i="9"/>
  <c r="AP71" i="9"/>
  <c r="AP79" i="9"/>
  <c r="AP83" i="9"/>
  <c r="N14" i="9"/>
  <c r="N15" i="9"/>
  <c r="N17" i="9"/>
  <c r="N32" i="9"/>
  <c r="N45" i="9"/>
  <c r="N13" i="9"/>
  <c r="N16" i="9"/>
  <c r="N25" i="9"/>
  <c r="N29" i="9"/>
  <c r="N33" i="9"/>
  <c r="N38" i="9"/>
  <c r="N42" i="9"/>
  <c r="N46" i="9"/>
  <c r="N50" i="9"/>
  <c r="N54" i="9"/>
  <c r="N58" i="9"/>
  <c r="N62" i="9"/>
  <c r="N66" i="9"/>
  <c r="N70" i="9"/>
  <c r="N74" i="9"/>
  <c r="N78" i="9"/>
  <c r="N82" i="9"/>
  <c r="N86" i="9"/>
  <c r="N30" i="9"/>
  <c r="N34" i="9"/>
  <c r="N39" i="9"/>
  <c r="N43" i="9"/>
  <c r="N47" i="9"/>
  <c r="N51" i="9"/>
  <c r="N55" i="9"/>
  <c r="N59" i="9"/>
  <c r="N63" i="9"/>
  <c r="N67" i="9"/>
  <c r="N71" i="9"/>
  <c r="N75" i="9"/>
  <c r="N79" i="9"/>
  <c r="N83" i="9"/>
  <c r="N89" i="9"/>
  <c r="N26" i="9"/>
  <c r="N18" i="9"/>
  <c r="N21" i="9"/>
  <c r="N27" i="9"/>
  <c r="N31" i="9"/>
  <c r="N36" i="9"/>
  <c r="N40" i="9"/>
  <c r="N44" i="9"/>
  <c r="N48" i="9"/>
  <c r="N52" i="9"/>
  <c r="N56" i="9"/>
  <c r="N60" i="9"/>
  <c r="N64" i="9"/>
  <c r="N68" i="9"/>
  <c r="N72" i="9"/>
  <c r="N76" i="9"/>
  <c r="N80" i="9"/>
  <c r="N84" i="9"/>
  <c r="N22" i="9"/>
  <c r="N28" i="9"/>
  <c r="N37" i="9"/>
  <c r="N41" i="9"/>
  <c r="N49" i="9"/>
  <c r="N53" i="9"/>
  <c r="N57" i="9"/>
  <c r="N61" i="9"/>
  <c r="N65" i="9"/>
  <c r="N69" i="9"/>
  <c r="N73" i="9"/>
  <c r="N77" i="9"/>
  <c r="N81" i="9"/>
  <c r="N85" i="9"/>
  <c r="M90" i="9"/>
  <c r="L90" i="9"/>
  <c r="M35" i="9"/>
  <c r="L35" i="9"/>
  <c r="AM35" i="9" s="1"/>
  <c r="L23" i="9"/>
  <c r="M23" i="9"/>
  <c r="M20" i="9"/>
  <c r="L20" i="9"/>
  <c r="AN12" i="9"/>
  <c r="M12" i="9"/>
  <c r="L12" i="9"/>
  <c r="AP36" i="9" l="1"/>
  <c r="AM90" i="9"/>
  <c r="N35" i="9"/>
  <c r="N90" i="9"/>
  <c r="N20" i="9"/>
  <c r="N23" i="9"/>
  <c r="L24" i="9"/>
  <c r="L91" i="9" s="1"/>
  <c r="L92" i="9" s="1"/>
  <c r="AN90" i="9"/>
  <c r="M24" i="9"/>
  <c r="M91" i="9" s="1"/>
  <c r="M92" i="9" s="1"/>
  <c r="I90" i="9"/>
  <c r="F90" i="9"/>
  <c r="C90" i="9"/>
  <c r="B90" i="9"/>
  <c r="H89" i="9"/>
  <c r="H86" i="9"/>
  <c r="E86" i="9"/>
  <c r="H85" i="9"/>
  <c r="E85" i="9"/>
  <c r="H84" i="9"/>
  <c r="E84" i="9"/>
  <c r="H83" i="9"/>
  <c r="H82" i="9"/>
  <c r="E82" i="9"/>
  <c r="H81" i="9"/>
  <c r="E81" i="9"/>
  <c r="H80" i="9"/>
  <c r="E80" i="9"/>
  <c r="H79" i="9"/>
  <c r="E79" i="9"/>
  <c r="H78" i="9"/>
  <c r="E78" i="9"/>
  <c r="H77" i="9"/>
  <c r="E77" i="9"/>
  <c r="H76" i="9"/>
  <c r="E76" i="9"/>
  <c r="H75" i="9"/>
  <c r="E75" i="9"/>
  <c r="H74" i="9"/>
  <c r="E74" i="9"/>
  <c r="H73" i="9"/>
  <c r="E73" i="9"/>
  <c r="H72" i="9"/>
  <c r="E72" i="9"/>
  <c r="H71" i="9"/>
  <c r="E71" i="9"/>
  <c r="H70" i="9"/>
  <c r="E70" i="9"/>
  <c r="H69" i="9"/>
  <c r="E69" i="9"/>
  <c r="H68" i="9"/>
  <c r="E68" i="9"/>
  <c r="H67" i="9"/>
  <c r="E67" i="9"/>
  <c r="H66" i="9"/>
  <c r="E66" i="9"/>
  <c r="H65" i="9"/>
  <c r="E65" i="9"/>
  <c r="H64" i="9"/>
  <c r="E64" i="9"/>
  <c r="H63" i="9"/>
  <c r="E63" i="9"/>
  <c r="H62" i="9"/>
  <c r="E62" i="9"/>
  <c r="H61" i="9"/>
  <c r="E61" i="9"/>
  <c r="H60" i="9"/>
  <c r="E60" i="9"/>
  <c r="H59" i="9"/>
  <c r="E59" i="9"/>
  <c r="H58" i="9"/>
  <c r="E58" i="9"/>
  <c r="H57" i="9"/>
  <c r="E57" i="9"/>
  <c r="H56" i="9"/>
  <c r="E56" i="9"/>
  <c r="H55" i="9"/>
  <c r="E55" i="9"/>
  <c r="H54" i="9"/>
  <c r="E54" i="9"/>
  <c r="H53" i="9"/>
  <c r="E53" i="9"/>
  <c r="H52" i="9"/>
  <c r="E52" i="9"/>
  <c r="H51" i="9"/>
  <c r="E51" i="9"/>
  <c r="H50" i="9"/>
  <c r="E50" i="9"/>
  <c r="H49" i="9"/>
  <c r="E49" i="9"/>
  <c r="H48" i="9"/>
  <c r="H47" i="9"/>
  <c r="E47" i="9"/>
  <c r="H46" i="9"/>
  <c r="E46" i="9"/>
  <c r="H45" i="9"/>
  <c r="E45" i="9"/>
  <c r="H44" i="9"/>
  <c r="E44" i="9"/>
  <c r="H43" i="9"/>
  <c r="E43" i="9"/>
  <c r="H42" i="9"/>
  <c r="E42" i="9"/>
  <c r="H41" i="9"/>
  <c r="E41" i="9"/>
  <c r="H40" i="9"/>
  <c r="E40" i="9"/>
  <c r="H39" i="9"/>
  <c r="E39" i="9"/>
  <c r="H38" i="9"/>
  <c r="E38" i="9"/>
  <c r="H37" i="9"/>
  <c r="G90" i="9"/>
  <c r="E36" i="9"/>
  <c r="I35" i="9"/>
  <c r="C35" i="9"/>
  <c r="B35" i="9"/>
  <c r="H34" i="9"/>
  <c r="E34" i="9"/>
  <c r="H33" i="9"/>
  <c r="E33" i="9"/>
  <c r="H32" i="9"/>
  <c r="E32" i="9"/>
  <c r="H31" i="9"/>
  <c r="E31" i="9"/>
  <c r="H30" i="9"/>
  <c r="E30" i="9"/>
  <c r="H29" i="9"/>
  <c r="H28" i="9"/>
  <c r="E28" i="9"/>
  <c r="H27" i="9"/>
  <c r="E27" i="9"/>
  <c r="H26" i="9"/>
  <c r="E26" i="9"/>
  <c r="J35" i="9"/>
  <c r="E25" i="9"/>
  <c r="D35" i="9"/>
  <c r="I23" i="9"/>
  <c r="G23" i="9"/>
  <c r="F23" i="9"/>
  <c r="C23" i="9"/>
  <c r="B23" i="9"/>
  <c r="J22" i="9"/>
  <c r="H22" i="9"/>
  <c r="E22" i="9"/>
  <c r="J21" i="9"/>
  <c r="H21" i="9"/>
  <c r="B20" i="9"/>
  <c r="H18" i="9"/>
  <c r="H17" i="9"/>
  <c r="E17" i="9"/>
  <c r="H16" i="9"/>
  <c r="E16" i="9"/>
  <c r="E15" i="9"/>
  <c r="I14" i="9"/>
  <c r="C14" i="9"/>
  <c r="J20" i="9"/>
  <c r="G20" i="9"/>
  <c r="J12" i="9"/>
  <c r="I12" i="9"/>
  <c r="G12" i="9"/>
  <c r="F12" i="9"/>
  <c r="D12" i="9"/>
  <c r="C12" i="9"/>
  <c r="B12" i="9"/>
  <c r="H11" i="9"/>
  <c r="E11" i="9"/>
  <c r="H10" i="9"/>
  <c r="E10" i="9"/>
  <c r="H9" i="9"/>
  <c r="E9" i="9"/>
  <c r="H8" i="9"/>
  <c r="E8" i="9"/>
  <c r="H7" i="9"/>
  <c r="E7" i="9"/>
  <c r="AM20" i="9" l="1"/>
  <c r="F20" i="9"/>
  <c r="AP15" i="9"/>
  <c r="AP22" i="9"/>
  <c r="H15" i="9"/>
  <c r="E14" i="9"/>
  <c r="AP14" i="9"/>
  <c r="K14" i="9"/>
  <c r="E12" i="9"/>
  <c r="K15" i="9"/>
  <c r="K21" i="9"/>
  <c r="N24" i="9"/>
  <c r="N91" i="9" s="1"/>
  <c r="N92" i="9" s="1"/>
  <c r="H23" i="9"/>
  <c r="H12" i="9"/>
  <c r="K22" i="9"/>
  <c r="I20" i="9"/>
  <c r="I24" i="9" s="1"/>
  <c r="I91" i="9" s="1"/>
  <c r="AM23" i="9"/>
  <c r="J23" i="9"/>
  <c r="J24" i="9" s="1"/>
  <c r="B24" i="9"/>
  <c r="B91" i="9" s="1"/>
  <c r="E83" i="9"/>
  <c r="H13" i="9"/>
  <c r="E18" i="9"/>
  <c r="C20" i="9"/>
  <c r="C24" i="9" s="1"/>
  <c r="C91" i="9" s="1"/>
  <c r="D20" i="9"/>
  <c r="E13" i="9"/>
  <c r="G24" i="9"/>
  <c r="G35" i="9"/>
  <c r="H25" i="9"/>
  <c r="H35" i="9" s="1"/>
  <c r="E37" i="9"/>
  <c r="D23" i="9"/>
  <c r="E21" i="9"/>
  <c r="E23" i="9" s="1"/>
  <c r="E29" i="9"/>
  <c r="E35" i="9" s="1"/>
  <c r="H36" i="9"/>
  <c r="H90" i="9" s="1"/>
  <c r="D90" i="9"/>
  <c r="J90" i="9"/>
  <c r="E48" i="9"/>
  <c r="K20" i="9" l="1"/>
  <c r="AO90" i="9"/>
  <c r="AP90" i="9" s="1"/>
  <c r="K23" i="9"/>
  <c r="E20" i="9"/>
  <c r="E24" i="9" s="1"/>
  <c r="AM24" i="9"/>
  <c r="AM91" i="9" s="1"/>
  <c r="AM92" i="9" s="1"/>
  <c r="C92" i="9"/>
  <c r="B92" i="9"/>
  <c r="I92" i="9"/>
  <c r="J91" i="9"/>
  <c r="G91" i="9"/>
  <c r="E90" i="9"/>
  <c r="F24" i="9"/>
  <c r="F91" i="9" s="1"/>
  <c r="H14" i="9"/>
  <c r="D24" i="9"/>
  <c r="D91" i="9" s="1"/>
  <c r="K24" i="9" l="1"/>
  <c r="K91" i="9" s="1"/>
  <c r="K92" i="9" s="1"/>
  <c r="E91" i="9"/>
  <c r="E92" i="9" s="1"/>
  <c r="D92" i="9"/>
  <c r="J92" i="9"/>
  <c r="G92" i="9"/>
  <c r="F92" i="9"/>
  <c r="AM94" i="9" s="1"/>
  <c r="AM96" i="9" s="1"/>
  <c r="H20" i="9"/>
  <c r="H24" i="9" s="1"/>
  <c r="H91" i="9" s="1"/>
  <c r="AM101" i="9" l="1"/>
  <c r="H92" i="9"/>
  <c r="V21" i="9" l="1"/>
  <c r="V13" i="9"/>
  <c r="V20" i="9" l="1"/>
  <c r="W21" i="9"/>
  <c r="W23" i="9" s="1"/>
  <c r="V23" i="9"/>
  <c r="W13" i="9"/>
  <c r="W20" i="9" s="1"/>
  <c r="W25" i="9"/>
  <c r="W35" i="9" s="1"/>
  <c r="V35" i="9"/>
  <c r="V24" i="9" l="1"/>
  <c r="V91" i="9" s="1"/>
  <c r="V92" i="9" s="1"/>
  <c r="W24" i="9"/>
  <c r="W91" i="9" s="1"/>
  <c r="W92" i="9" s="1"/>
  <c r="AE21" i="9" l="1"/>
  <c r="AN21" i="9" s="1"/>
  <c r="AO21" i="9" s="1"/>
  <c r="AE25" i="9"/>
  <c r="AN25" i="9" s="1"/>
  <c r="AO25" i="9" s="1"/>
  <c r="AE13" i="9"/>
  <c r="AN13" i="9" s="1"/>
  <c r="AO13" i="9" s="1"/>
  <c r="AN20" i="9" l="1"/>
  <c r="AN23" i="9"/>
  <c r="AE23" i="9"/>
  <c r="AF21" i="9"/>
  <c r="AF23" i="9" s="1"/>
  <c r="AF25" i="9"/>
  <c r="AF35" i="9" s="1"/>
  <c r="AE35" i="9"/>
  <c r="AN35" i="9" s="1"/>
  <c r="AO35" i="9" s="1"/>
  <c r="AE20" i="9"/>
  <c r="AF13" i="9"/>
  <c r="AF20" i="9" s="1"/>
  <c r="AP13" i="9" l="1"/>
  <c r="AO20" i="9"/>
  <c r="AP20" i="9" s="1"/>
  <c r="AN24" i="9"/>
  <c r="AN91" i="9" s="1"/>
  <c r="AN92" i="9" s="1"/>
  <c r="AF24" i="9"/>
  <c r="AP21" i="9"/>
  <c r="AO23" i="9"/>
  <c r="AP25" i="9"/>
  <c r="AE24" i="9"/>
  <c r="AE91" i="9" s="1"/>
  <c r="AE92" i="9" s="1"/>
  <c r="AN94" i="9" l="1"/>
  <c r="AN101" i="9"/>
  <c r="AF91" i="9"/>
  <c r="AF92" i="9" s="1"/>
  <c r="AP23" i="9"/>
  <c r="AO24" i="9"/>
  <c r="AP24" i="9" s="1"/>
  <c r="AP35" i="9"/>
  <c r="AO94" i="9" l="1"/>
  <c r="AO101" i="9"/>
  <c r="AO91" i="9"/>
  <c r="AP91" i="9" s="1"/>
  <c r="AO92" i="9" l="1"/>
  <c r="AP92" i="9" s="1"/>
  <c r="AO9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Servidor</author>
  </authors>
  <commentList>
    <comment ref="AB14" authorId="0" shapeId="0" xr:uid="{C06242CD-CD98-4858-9846-D9F661F4F6CF}">
      <text>
        <r>
          <rPr>
            <b/>
            <sz val="9"/>
            <color indexed="81"/>
            <rFont val="Tahoma"/>
            <family val="2"/>
          </rPr>
          <t>Servidor:</t>
        </r>
        <r>
          <rPr>
            <sz val="9"/>
            <color indexed="81"/>
            <rFont val="Tahoma"/>
            <family val="2"/>
          </rPr>
          <t xml:space="preserve">
No se ejecuto generador de hipoclorito $234.627.908
Servcios publicos ppto $16.330.000 , ejecutado $4.152.573</t>
        </r>
      </text>
    </comment>
    <comment ref="V15" authorId="0" shapeId="0" xr:uid="{4447814A-BE77-43EF-918A-B89E87E943D2}">
      <text>
        <r>
          <rPr>
            <b/>
            <sz val="9"/>
            <color indexed="81"/>
            <rFont val="Tahoma"/>
            <family val="2"/>
          </rPr>
          <t>Servidor:</t>
        </r>
        <r>
          <rPr>
            <sz val="9"/>
            <color indexed="81"/>
            <rFont val="Tahoma"/>
            <family val="2"/>
          </rPr>
          <t xml:space="preserve">
Facturas planta desalinizadora junio-julio y mayo-junio-presupuesto $50.000. alquiler carrotanque, ejecutado $15.482, $11.732 materiales, $13.026 eqipo termofusion</t>
        </r>
      </text>
    </comment>
    <comment ref="AB15" authorId="0" shapeId="0" xr:uid="{29A06906-9B9D-4EF4-92C8-9EBFDC17F765}">
      <text>
        <r>
          <rPr>
            <b/>
            <sz val="9"/>
            <color indexed="81"/>
            <rFont val="Tahoma"/>
            <family val="2"/>
          </rPr>
          <t>Servidor:</t>
        </r>
        <r>
          <rPr>
            <sz val="9"/>
            <color indexed="81"/>
            <rFont val="Tahoma"/>
            <family val="2"/>
          </rPr>
          <t xml:space="preserve">
Muestras de laboratorio ppto $9.333.000 ejecutado $0, planta desalinizadora ppto$415.000.000, ejecutado $379.814.293. Alquiler carrotanque ppto $50.000.000, ejecutado $28.345.725</t>
        </r>
      </text>
    </comment>
    <comment ref="AB29" authorId="0" shapeId="0" xr:uid="{354CA5AB-1019-4555-ACB0-67289544A48A}">
      <text>
        <r>
          <rPr>
            <b/>
            <sz val="9"/>
            <color indexed="81"/>
            <rFont val="Tahoma"/>
            <family val="2"/>
          </rPr>
          <t>Servidor:</t>
        </r>
        <r>
          <rPr>
            <sz val="9"/>
            <color indexed="81"/>
            <rFont val="Tahoma"/>
            <family val="2"/>
          </rPr>
          <t xml:space="preserve">
Transporte ppto $29.437.900, ejecutado $32.467.588</t>
        </r>
      </text>
    </comment>
    <comment ref="AB30" authorId="0" shapeId="0" xr:uid="{09ED2D9C-909D-4CFE-83B4-722C0BFB8212}">
      <text>
        <r>
          <rPr>
            <b/>
            <sz val="9"/>
            <color indexed="81"/>
            <rFont val="Tahoma"/>
            <family val="2"/>
          </rPr>
          <t>Servidor:</t>
        </r>
        <r>
          <rPr>
            <sz val="9"/>
            <color indexed="81"/>
            <rFont val="Tahoma"/>
            <family val="2"/>
          </rPr>
          <t xml:space="preserve">
Alquiler buldozer ppto $29.137, ejecutado $67.631</t>
        </r>
      </text>
    </comment>
  </commentList>
</comments>
</file>

<file path=xl/sharedStrings.xml><?xml version="1.0" encoding="utf-8"?>
<sst xmlns="http://schemas.openxmlformats.org/spreadsheetml/2006/main" count="145" uniqueCount="122">
  <si>
    <t xml:space="preserve">Deficit </t>
  </si>
  <si>
    <t>Costos de Funcionamiento Operativos AA</t>
  </si>
  <si>
    <t>Total Ingresos</t>
  </si>
  <si>
    <t>Recaudo - Ingresos Acueducto y Alcantarillado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</si>
  <si>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</si>
  <si>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</si>
  <si>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</si>
  <si>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</si>
  <si>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</si>
  <si>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</si>
  <si>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</si>
  <si>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</si>
  <si>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</si>
  <si>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</si>
  <si>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</si>
  <si>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</si>
  <si>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</si>
  <si>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</si>
  <si>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Servicio técnico y actualizaciones INTEGRIN</t>
  </si>
  <si>
    <t>Arrendamiento oficina administrativa</t>
  </si>
  <si>
    <t xml:space="preserve">Equipos de comunicación móvil </t>
  </si>
  <si>
    <t>Planes móviles</t>
  </si>
  <si>
    <t>Dotación para el personal administrativo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</si>
  <si>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</si>
  <si>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</si>
  <si>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</si>
  <si>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Dispensadores de agua, caliente-fría, termos, botellones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</si>
  <si>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</si>
  <si>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</si>
  <si>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</si>
  <si>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</si>
  <si>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Desarrollo de redes</t>
  </si>
  <si>
    <t>Suscripción Legis</t>
  </si>
  <si>
    <t>Seguros y pólizas</t>
  </si>
  <si>
    <t>Seguros exequiales</t>
  </si>
  <si>
    <t>Almacenamiento virtual (nube)</t>
  </si>
  <si>
    <t>Arrendamiento contenedor</t>
  </si>
  <si>
    <t>Cena de fin de año</t>
  </si>
  <si>
    <t>celebración día del trabajo</t>
  </si>
  <si>
    <t>Servicios de vigilancia privada</t>
  </si>
  <si>
    <t>Mantenimiento y pintura de sede administrativa</t>
  </si>
  <si>
    <t>Exámenes médicos y ocupacionales</t>
  </si>
  <si>
    <t>Capacitaciones</t>
  </si>
  <si>
    <t>Viáticos capacitaciones</t>
  </si>
  <si>
    <t>Gastos administrativos: Cámara de comercio</t>
  </si>
  <si>
    <t>Gastos administrativos; servicios notariales</t>
  </si>
  <si>
    <t>Servicios farmacéuticos y de droguería</t>
  </si>
  <si>
    <t>Alquiler de área de bodegaje temporal de equipos y materiales</t>
  </si>
  <si>
    <t>Suministros de alimentación, refrigerios e hidratación</t>
  </si>
  <si>
    <t>Pago comisión deuda</t>
  </si>
  <si>
    <t>Tramites y pagos secretaria de movilidad</t>
  </si>
  <si>
    <t>Otros gastos administrativos y de representación</t>
  </si>
  <si>
    <t>Campañas sociales y de sensibilización de los SSPP</t>
  </si>
  <si>
    <t xml:space="preserve">Servicios de comunicación de perifoneo, radio y redes para realizar anuncios a la comunidad sobre la prestación de servicios: horarios, rutas, sectorización otros </t>
  </si>
  <si>
    <t>Software de gestión documental</t>
  </si>
  <si>
    <t>Otros gastos logísticos</t>
  </si>
  <si>
    <t>Energía eléctrica oficinas administrativas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</si>
  <si>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</si>
  <si>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</si>
  <si>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</si>
  <si>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</si>
  <si>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</si>
  <si>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Mantenimiento de Cuencas</t>
  </si>
  <si>
    <t>Recaudo Cartera AA</t>
  </si>
  <si>
    <t>Recaudo Aseo</t>
  </si>
  <si>
    <t>Recaudo Cartera Aseo</t>
  </si>
  <si>
    <t>Subsidios Acueducto y Alcantarillado y Aseo</t>
  </si>
  <si>
    <t>Año 2022</t>
  </si>
  <si>
    <t>Enero</t>
  </si>
  <si>
    <t>Febrero</t>
  </si>
  <si>
    <t>Marzo</t>
  </si>
  <si>
    <t>Abril</t>
  </si>
  <si>
    <t>Mayo</t>
  </si>
  <si>
    <t>Agosto</t>
  </si>
  <si>
    <t>Acumulado</t>
  </si>
  <si>
    <t>Concepto</t>
  </si>
  <si>
    <t>Elementos de protección personal EPP y bioseguridad para los trabajadores del servicio de aseo y disposición final</t>
  </si>
  <si>
    <t>Dotación de uniformes para el personal de aseo, disposición final  (pantalon , camisa, zapatos, impermeables, pantaneras, chalecos reflectivos)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</si>
  <si>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</si>
  <si>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</si>
  <si>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</si>
  <si>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</si>
  <si>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</si>
  <si>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PRESUPUESTO DE FUNCIONAMIENTO AÑO 2022</t>
  </si>
  <si>
    <t>Impuesto Industria y comercio 7X1000 Ingresos</t>
  </si>
  <si>
    <t xml:space="preserve">Generales/Administracion  </t>
  </si>
  <si>
    <t xml:space="preserve">Personal </t>
  </si>
  <si>
    <t>Compra sistema LIFTER</t>
  </si>
  <si>
    <t>Audiltor Interno</t>
  </si>
  <si>
    <t>Señalética</t>
  </si>
  <si>
    <t>Prestación de servicio para interventoría contrato 05B</t>
  </si>
  <si>
    <t>Mantenimiento carro compactador</t>
  </si>
  <si>
    <t>Total Costos de Funcionamiento AAA</t>
  </si>
  <si>
    <t>Presupuesto</t>
  </si>
  <si>
    <t>Ejecucion Enero</t>
  </si>
  <si>
    <t>Variacion</t>
  </si>
  <si>
    <t>Ejecutado</t>
  </si>
  <si>
    <t>Ejecucion Febrero</t>
  </si>
  <si>
    <t>Ejecucion acumulada</t>
  </si>
  <si>
    <t>variacion acumulada</t>
  </si>
  <si>
    <t>Presupuesto acumulado</t>
  </si>
  <si>
    <t>Variacion %</t>
  </si>
  <si>
    <t>Alquiler de mulas y vehículos de transporte corporativo-abrir presupuesto para admon-ac-as</t>
  </si>
  <si>
    <t>Ejecucion marzo</t>
  </si>
  <si>
    <t>Ejecucion abril</t>
  </si>
  <si>
    <t>Ejecucion mayo</t>
  </si>
  <si>
    <t>Servicios de agencia de viajes/gastos de viaje</t>
  </si>
  <si>
    <t>Ejecucion junio</t>
  </si>
  <si>
    <t>Servicios personales - Psicologo</t>
  </si>
  <si>
    <t>Ejecucion julio</t>
  </si>
  <si>
    <t>Ejecucion Agosto</t>
  </si>
  <si>
    <t>Compra estanteria (control inventario)</t>
  </si>
  <si>
    <t>Ejecucion Septiembre</t>
  </si>
  <si>
    <t>Septiembre</t>
  </si>
  <si>
    <t>Ejecucion Octubre</t>
  </si>
  <si>
    <t>Octubre</t>
  </si>
  <si>
    <t>Equipos de cómputo, hardware, software (incluye servicio técnico) , equipo de oficina</t>
  </si>
  <si>
    <t>Pagos CRA/Contribucion</t>
  </si>
  <si>
    <t>Ejecucion Noviembre</t>
  </si>
  <si>
    <t>Noviembrbre</t>
  </si>
  <si>
    <t>Ejecucion Diciembre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</si>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</sst>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5" fillId="0" borderId="2" xfId="1" applyNumberFormat="1" applyFont="1" applyFill="1" applyBorder="1"/>
    <xf numFmtId="0" fontId="0" fillId="0" borderId="6" xfId="0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8" fillId="0" borderId="2" xfId="1" applyNumberFormat="1" applyFont="1" applyFill="1" applyBorder="1"/>
    <xf numFmtId="164" fontId="5" fillId="3" borderId="2" xfId="1" applyNumberFormat="1" applyFont="1" applyFill="1" applyBorder="1"/>
    <xf numFmtId="0" fontId="3" fillId="2" borderId="6" xfId="0" applyFont="1" applyFill="1" applyBorder="1"/>
    <xf numFmtId="0" fontId="0" fillId="3" borderId="6" xfId="0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10" fontId="5" fillId="0" borderId="7" xfId="4" applyNumberFormat="1" applyFont="1" applyFill="1" applyBorder="1"/>
    <xf numFmtId="164" fontId="5" fillId="3" borderId="7" xfId="1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2" borderId="0" xfId="0" applyFont="1" applyFill="1" applyAlignment="1">
      <alignment horizontal="center" wrapText="1"/>
    </xf>
    <xf numFmtId="0" fontId="2" fillId="0" borderId="12" xfId="0" applyFont="1" applyBorder="1"/>
    <xf numFmtId="0" fontId="2" fillId="2" borderId="4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/>
    <xf numFmtId="43" fontId="7" fillId="0" borderId="0" xfId="3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9" fillId="0" borderId="0" xfId="1" applyFont="1"/>
    <xf numFmtId="164" fontId="9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164" fontId="5" fillId="0" borderId="15" xfId="4" applyNumberFormat="1" applyFont="1" applyFill="1" applyBorder="1"/>
    <xf numFmtId="164" fontId="5" fillId="0" borderId="0" xfId="4" applyNumberFormat="1" applyFont="1" applyFill="1" applyBorder="1"/>
    <xf numFmtId="3" fontId="12" fillId="4" borderId="16" xfId="0" applyNumberFormat="1" applyFont="1" applyFill="1" applyBorder="1" applyAlignment="1">
      <alignment horizontal="right"/>
    </xf>
    <xf numFmtId="43" fontId="5" fillId="0" borderId="15" xfId="4" applyNumberFormat="1" applyFont="1" applyFill="1" applyBorder="1"/>
    <xf numFmtId="43" fontId="7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1">
    <cellStyle name="Millares" xfId="1" builtinId="3"/>
    <cellStyle name="Millares [0] 2" xfId="10" xr:uid="{8E9D12E1-2051-445B-BF99-39E7D63E196C}"/>
    <cellStyle name="Millares 2" xfId="12" xr:uid="{2E0941FB-7491-4CE3-877B-7FA87936F3A2}"/>
    <cellStyle name="Millares 22" xfId="3" xr:uid="{5F630E82-B661-4D35-A9ED-3F08C2D85B46}"/>
    <cellStyle name="Millares 22 2" xfId="14" xr:uid="{35A53BA2-57E5-4558-8235-1BD2BEA011D0}"/>
    <cellStyle name="Millares 22 3" xfId="8" xr:uid="{9689F518-BC78-4F49-BAC0-006CAD4D374E}"/>
    <cellStyle name="Millares 3" xfId="6" xr:uid="{CC81500F-2E2B-4A7F-BDC8-3711E7B24183}"/>
    <cellStyle name="Millares 4" xfId="5" xr:uid="{6D58239F-D695-4B8D-A63A-E3DADD80BBEC}"/>
    <cellStyle name="Millares 5" xfId="11" xr:uid="{5A082A46-EF8C-4E79-A8F0-4ED7142D0DBD}"/>
    <cellStyle name="Millares 6" xfId="16" xr:uid="{DD812C85-54EA-4309-B0DB-40B445FDBCCC}"/>
    <cellStyle name="Millares 7" xfId="17" xr:uid="{15DA9706-45FB-4B42-930B-564972460B20}"/>
    <cellStyle name="Moneda [0] 3" xfId="2" xr:uid="{F9B61FBC-3171-4D08-A43B-E17247AC1AD9}"/>
    <cellStyle name="Moneda [0] 3 2" xfId="13" xr:uid="{D49A4DA3-3B50-4BA3-8631-30CEB30CA08E}"/>
    <cellStyle name="Moneda [0] 3 3" xfId="7" xr:uid="{5277FA9A-5AD4-4503-87BC-8CCCBF1F7C4F}"/>
    <cellStyle name="Moneda 2" xfId="9" xr:uid="{802DE92E-7943-4CF8-B6F8-2590D71C93CF}"/>
    <cellStyle name="Moneda 3" xfId="15" xr:uid="{FCF0E8A1-26A6-44A0-9100-0D641D27CB62}"/>
    <cellStyle name="Moneda 4" xfId="18" xr:uid="{CB082A5F-163A-4CC1-9D2F-3EF286EF09C2}"/>
    <cellStyle name="Moneda 5" xfId="19" xr:uid="{9BD5F0B8-DD0A-4E3A-89D6-F6A6D00F4B5D}"/>
    <cellStyle name="Moneda 6" xfId="20" xr:uid="{4481080C-3A0F-4096-B6BB-1CA13035621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26" Type="http://schemas.microsoft.com/office/2017/10/relationships/person" Target="persons/person2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34" Type="http://schemas.microsoft.com/office/2017/10/relationships/person" Target="persons/person1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5" Type="http://schemas.microsoft.com/office/2017/10/relationships/person" Target="persons/person1.xml"/><Relationship Id="rId33" Type="http://schemas.microsoft.com/office/2017/10/relationships/person" Target="persons/person4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29" Type="http://schemas.microsoft.com/office/2017/10/relationships/person" Target="persons/person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microsoft.com/office/2017/10/relationships/person" Target="persons/person0.xml"/><Relationship Id="rId32" Type="http://schemas.microsoft.com/office/2017/10/relationships/person" Target="persons/person5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23" Type="http://schemas.microsoft.com/office/2017/10/relationships/person" Target="persons/person11.xml"/><Relationship Id="rId28" Type="http://schemas.microsoft.com/office/2017/10/relationships/person" Target="persons/person3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31" Type="http://schemas.microsoft.com/office/2017/10/relationships/person" Target="persons/person7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microsoft.com/office/2017/10/relationships/person" Target="persons/person.xml"/><Relationship Id="rId27" Type="http://schemas.microsoft.com/office/2017/10/relationships/person" Target="persons/person9.xml"/><Relationship Id="rId30" Type="http://schemas.microsoft.com/office/2017/10/relationships/person" Target="persons/person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2/Ppto%20PyK%20para%20la%20SUPERmodificadoadriana.xlsx" TargetMode="External"/><Relationship Id="rId1" Type="http://schemas.openxmlformats.org/officeDocument/2006/relationships/externalLinkPath" Target="/personal/contadora_idalmypalacios_onmicrosoft_com/Documents/YOSSARLY/MIS%20DOCUMENTOS/PYK/2022/Ppto%20PyK%20para%20la%20SUPERmodificadoadrian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Octubre/Estfroint202210V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Noviembre/Situacionfraint202211V1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2/Estfros/Diciembre/Estadoresultados202212.xls" TargetMode="External"/><Relationship Id="rId1" Type="http://schemas.openxmlformats.org/officeDocument/2006/relationships/externalLinkPath" Target="Estadoresultados2022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EjecucionPptalPasiva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Cconciliacion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Noviembre/FLUJODECAJA202211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Estfroint202204V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Estfroint202205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Estfroint202206V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Estfroint202207V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Estfroint202208V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ntadora_idalmypalacios_onmicrosoft_com/Documents/YOSSARLY/MIS%20DOCUMENTOS/PYK/2022/Estfros/Septiembre/Estfroint202209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éficit P&amp;K nov22"/>
      <sheetName val="Ppto Rev SUPER"/>
      <sheetName val="Déficit P&amp;K mod"/>
      <sheetName val="Déficit P&amp;K feb16"/>
      <sheetName val="Déficit P&amp;K"/>
      <sheetName val="Ajuste por IPC"/>
      <sheetName val="Ppto"/>
      <sheetName val="Hoja1"/>
    </sheetNames>
    <sheetDataSet>
      <sheetData sheetId="0"/>
      <sheetData sheetId="1"/>
      <sheetData sheetId="2"/>
      <sheetData sheetId="3">
        <row r="5">
          <cell r="J5">
            <v>10303515.445817964</v>
          </cell>
          <cell r="K5">
            <v>10818691.218108863</v>
          </cell>
          <cell r="M5">
            <v>11927607.067965021</v>
          </cell>
          <cell r="N5">
            <v>12523987.421363274</v>
          </cell>
        </row>
        <row r="6">
          <cell r="J6">
            <v>2635576.0081944484</v>
          </cell>
          <cell r="K6">
            <v>2635576.0081944484</v>
          </cell>
          <cell r="M6">
            <v>2635576.0081944484</v>
          </cell>
          <cell r="N6">
            <v>2635576.0081944484</v>
          </cell>
        </row>
        <row r="7">
          <cell r="J7">
            <v>10728360.575612511</v>
          </cell>
          <cell r="K7">
            <v>11264778.604393138</v>
          </cell>
          <cell r="M7">
            <v>12419418.411343435</v>
          </cell>
          <cell r="N7">
            <v>13040389.331910606</v>
          </cell>
        </row>
        <row r="8">
          <cell r="J8">
            <v>5006966</v>
          </cell>
          <cell r="K8">
            <v>5006966</v>
          </cell>
          <cell r="M8">
            <v>5006966</v>
          </cell>
          <cell r="N8">
            <v>5006966</v>
          </cell>
        </row>
        <row r="9">
          <cell r="J9">
            <v>15728999.815112703</v>
          </cell>
          <cell r="K9">
            <v>16515449.805868339</v>
          </cell>
          <cell r="M9">
            <v>18208283.410969846</v>
          </cell>
          <cell r="N9">
            <v>19118697.581518341</v>
          </cell>
        </row>
        <row r="11">
          <cell r="E11">
            <v>73690864.150010645</v>
          </cell>
          <cell r="G11">
            <v>73690864.150010645</v>
          </cell>
          <cell r="I11">
            <v>75569153.150010645</v>
          </cell>
          <cell r="J11">
            <v>75569153.150010645</v>
          </cell>
          <cell r="K11">
            <v>75569153.150010645</v>
          </cell>
          <cell r="M11">
            <v>75569153.150010645</v>
          </cell>
          <cell r="N11">
            <v>75569153.150010645</v>
          </cell>
        </row>
        <row r="12">
          <cell r="F12">
            <v>166039404.5</v>
          </cell>
          <cell r="G12">
            <v>19630000</v>
          </cell>
          <cell r="H12">
            <v>70893761.800000012</v>
          </cell>
          <cell r="I12">
            <v>16330000</v>
          </cell>
          <cell r="J12">
            <v>485585815.60000002</v>
          </cell>
          <cell r="K12">
            <v>250957907.80000001</v>
          </cell>
          <cell r="M12">
            <v>133643953.90000001</v>
          </cell>
          <cell r="N12">
            <v>16330000</v>
          </cell>
        </row>
        <row r="13">
          <cell r="M13">
            <v>63629333</v>
          </cell>
          <cell r="N13">
            <v>64629333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</row>
        <row r="15">
          <cell r="F15">
            <v>34400000</v>
          </cell>
          <cell r="G15">
            <v>0</v>
          </cell>
          <cell r="I15">
            <v>0</v>
          </cell>
          <cell r="J15">
            <v>159000000</v>
          </cell>
          <cell r="K15">
            <v>0</v>
          </cell>
          <cell r="M15">
            <v>0</v>
          </cell>
          <cell r="N15">
            <v>0</v>
          </cell>
        </row>
        <row r="16">
          <cell r="F16">
            <v>4000000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M16">
            <v>8000000</v>
          </cell>
          <cell r="N16">
            <v>0</v>
          </cell>
        </row>
        <row r="19">
          <cell r="F19">
            <v>2920364</v>
          </cell>
          <cell r="G19">
            <v>2920364</v>
          </cell>
          <cell r="I19">
            <v>4827015</v>
          </cell>
          <cell r="J19">
            <v>4827015</v>
          </cell>
          <cell r="K19">
            <v>4827015</v>
          </cell>
          <cell r="M19">
            <v>4827015</v>
          </cell>
          <cell r="N19">
            <v>4827015</v>
          </cell>
        </row>
        <row r="20">
          <cell r="F20">
            <v>52074629.999999993</v>
          </cell>
          <cell r="G20">
            <v>304529.99999999994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3">
          <cell r="F23">
            <v>98182237.037049666</v>
          </cell>
          <cell r="G23">
            <v>98182237.037049666</v>
          </cell>
          <cell r="I23">
            <v>100060526.0370497</v>
          </cell>
          <cell r="J23">
            <v>100060526.0370497</v>
          </cell>
          <cell r="K23">
            <v>100060526.0370497</v>
          </cell>
          <cell r="M23">
            <v>100060526.0370497</v>
          </cell>
          <cell r="N23">
            <v>100060526.0370497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</row>
        <row r="25">
          <cell r="F25">
            <v>10150999.999999998</v>
          </cell>
          <cell r="G25">
            <v>10150999.999999998</v>
          </cell>
          <cell r="I25">
            <v>0</v>
          </cell>
          <cell r="J25">
            <v>0</v>
          </cell>
          <cell r="K25">
            <v>0</v>
          </cell>
          <cell r="M25">
            <v>0</v>
          </cell>
          <cell r="N25">
            <v>0</v>
          </cell>
        </row>
        <row r="26"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</row>
        <row r="27">
          <cell r="F27">
            <v>31468099.999999996</v>
          </cell>
          <cell r="G27">
            <v>29437899.999999996</v>
          </cell>
          <cell r="I27">
            <v>31468099.999999996</v>
          </cell>
          <cell r="J27">
            <v>29437899.999999996</v>
          </cell>
          <cell r="K27">
            <v>29437899.999999996</v>
          </cell>
          <cell r="M27">
            <v>28828839.999999996</v>
          </cell>
          <cell r="N27">
            <v>29640919.999999996</v>
          </cell>
        </row>
        <row r="28">
          <cell r="F28">
            <v>78837430.400000006</v>
          </cell>
          <cell r="G28">
            <v>29137430.399999999</v>
          </cell>
          <cell r="I28">
            <v>29137430.399999999</v>
          </cell>
          <cell r="J28">
            <v>29137430.399999999</v>
          </cell>
          <cell r="K28">
            <v>29137430.399999999</v>
          </cell>
          <cell r="M28">
            <v>29137430.399999999</v>
          </cell>
          <cell r="N28">
            <v>29137430.399999999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F30"/>
          <cell r="G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  <cell r="N30">
            <v>0</v>
          </cell>
        </row>
        <row r="31"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  <cell r="N31">
            <v>0</v>
          </cell>
        </row>
        <row r="32">
          <cell r="F32">
            <v>13500000</v>
          </cell>
          <cell r="G32">
            <v>6000000</v>
          </cell>
          <cell r="I32">
            <v>6000000</v>
          </cell>
          <cell r="J32">
            <v>6000000</v>
          </cell>
          <cell r="K32">
            <v>6000000</v>
          </cell>
          <cell r="M32">
            <v>6000000</v>
          </cell>
          <cell r="N32">
            <v>6000000</v>
          </cell>
        </row>
        <row r="34">
          <cell r="F34">
            <v>26758629.242262948</v>
          </cell>
          <cell r="G34">
            <v>26758629.242262948</v>
          </cell>
          <cell r="I34">
            <v>35662629.2422629</v>
          </cell>
          <cell r="J34">
            <v>35662629.2422629</v>
          </cell>
          <cell r="K34">
            <v>35662629.2422629</v>
          </cell>
          <cell r="M34">
            <v>35662629.2422629</v>
          </cell>
          <cell r="N34">
            <v>35662629.2422629</v>
          </cell>
        </row>
        <row r="35">
          <cell r="F35">
            <v>12262271.980901971</v>
          </cell>
          <cell r="G35">
            <v>12262271.980901971</v>
          </cell>
          <cell r="I35">
            <v>15450002.980901999</v>
          </cell>
          <cell r="J35">
            <v>15450002.980901999</v>
          </cell>
          <cell r="K35">
            <v>15450002.980901999</v>
          </cell>
          <cell r="M35">
            <v>15450002.980901999</v>
          </cell>
          <cell r="N35">
            <v>15450002.980901999</v>
          </cell>
        </row>
        <row r="36"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  <cell r="N36">
            <v>0</v>
          </cell>
        </row>
        <row r="37">
          <cell r="F37">
            <v>1319629.9999999998</v>
          </cell>
          <cell r="G37">
            <v>1319629.9999999998</v>
          </cell>
          <cell r="I37">
            <v>1319629.9999999998</v>
          </cell>
          <cell r="J37">
            <v>1319629.9999999998</v>
          </cell>
          <cell r="K37">
            <v>1319629.9999999998</v>
          </cell>
          <cell r="M37">
            <v>1319629.9999999998</v>
          </cell>
          <cell r="N37">
            <v>1319629.9999999998</v>
          </cell>
        </row>
        <row r="38">
          <cell r="F38">
            <v>527852</v>
          </cell>
          <cell r="G38">
            <v>0</v>
          </cell>
          <cell r="I38">
            <v>527852</v>
          </cell>
          <cell r="J38">
            <v>0</v>
          </cell>
          <cell r="K38">
            <v>0</v>
          </cell>
          <cell r="M38">
            <v>0</v>
          </cell>
          <cell r="N38">
            <v>0</v>
          </cell>
        </row>
        <row r="39">
          <cell r="F39">
            <v>0</v>
          </cell>
          <cell r="G39">
            <v>0</v>
          </cell>
          <cell r="I39">
            <v>0</v>
          </cell>
          <cell r="J39">
            <v>4060399.9999999995</v>
          </cell>
          <cell r="K39">
            <v>0</v>
          </cell>
          <cell r="M39">
            <v>0</v>
          </cell>
          <cell r="N39">
            <v>0</v>
          </cell>
        </row>
        <row r="40">
          <cell r="F40">
            <v>10963079.999999998</v>
          </cell>
          <cell r="G40">
            <v>10963079.999999998</v>
          </cell>
          <cell r="I40">
            <v>10963079.999999998</v>
          </cell>
          <cell r="J40">
            <v>10963079.999999998</v>
          </cell>
          <cell r="K40">
            <v>10963079.999999998</v>
          </cell>
          <cell r="M40">
            <v>10963079.999999998</v>
          </cell>
          <cell r="N40">
            <v>10963079.999999998</v>
          </cell>
        </row>
        <row r="41">
          <cell r="F41">
            <v>0</v>
          </cell>
          <cell r="G41">
            <v>0</v>
          </cell>
          <cell r="I41">
            <v>2030199.9999999998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</row>
        <row r="42">
          <cell r="F42">
            <v>2131710</v>
          </cell>
          <cell r="G42">
            <v>2131710</v>
          </cell>
          <cell r="I42">
            <v>2131710</v>
          </cell>
          <cell r="J42">
            <v>2131710</v>
          </cell>
          <cell r="K42">
            <v>2131710</v>
          </cell>
          <cell r="M42">
            <v>2131710</v>
          </cell>
          <cell r="N42">
            <v>2131710</v>
          </cell>
        </row>
        <row r="43">
          <cell r="F43">
            <v>0</v>
          </cell>
          <cell r="G43">
            <v>0</v>
          </cell>
          <cell r="I43">
            <v>0</v>
          </cell>
          <cell r="J43">
            <v>0</v>
          </cell>
          <cell r="K43">
            <v>6598149.9999999991</v>
          </cell>
          <cell r="M43">
            <v>0</v>
          </cell>
          <cell r="N43">
            <v>0</v>
          </cell>
        </row>
        <row r="44">
          <cell r="F44">
            <v>0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M44">
            <v>0</v>
          </cell>
          <cell r="N44">
            <v>0</v>
          </cell>
        </row>
        <row r="45">
          <cell r="F45">
            <v>1000000</v>
          </cell>
          <cell r="G45">
            <v>1000000</v>
          </cell>
          <cell r="I45">
            <v>1000000</v>
          </cell>
          <cell r="J45">
            <v>1000000</v>
          </cell>
          <cell r="K45">
            <v>1000000</v>
          </cell>
          <cell r="M45">
            <v>1000000</v>
          </cell>
          <cell r="N45">
            <v>1000000</v>
          </cell>
        </row>
        <row r="46">
          <cell r="F46">
            <v>1000000</v>
          </cell>
          <cell r="G46">
            <v>1000000</v>
          </cell>
          <cell r="I46">
            <v>1000000</v>
          </cell>
          <cell r="J46">
            <v>1000000</v>
          </cell>
          <cell r="K46">
            <v>1000000</v>
          </cell>
          <cell r="M46">
            <v>1000000</v>
          </cell>
          <cell r="N46">
            <v>1000000</v>
          </cell>
        </row>
        <row r="47">
          <cell r="F47">
            <v>710569.99999999988</v>
          </cell>
          <cell r="G47">
            <v>0</v>
          </cell>
          <cell r="I47">
            <v>0</v>
          </cell>
          <cell r="J47">
            <v>0</v>
          </cell>
          <cell r="K47">
            <v>0</v>
          </cell>
          <cell r="M47">
            <v>0</v>
          </cell>
          <cell r="N47">
            <v>0</v>
          </cell>
        </row>
        <row r="48">
          <cell r="F48">
            <v>800000</v>
          </cell>
          <cell r="G48">
            <v>800000</v>
          </cell>
          <cell r="I48">
            <v>800000</v>
          </cell>
          <cell r="J48">
            <v>800000</v>
          </cell>
          <cell r="K48">
            <v>800000</v>
          </cell>
          <cell r="M48">
            <v>800000</v>
          </cell>
          <cell r="N48">
            <v>800000</v>
          </cell>
        </row>
        <row r="49">
          <cell r="F49">
            <v>3200000</v>
          </cell>
          <cell r="G49">
            <v>3200000</v>
          </cell>
          <cell r="I49">
            <v>3200000</v>
          </cell>
          <cell r="J49">
            <v>3200000</v>
          </cell>
          <cell r="K49">
            <v>3200000</v>
          </cell>
          <cell r="M49">
            <v>3200000</v>
          </cell>
          <cell r="N49">
            <v>3200000</v>
          </cell>
        </row>
        <row r="50">
          <cell r="F50">
            <v>4060399.9999999995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</row>
        <row r="51">
          <cell r="F51">
            <v>3200000</v>
          </cell>
          <cell r="G51">
            <v>3200000</v>
          </cell>
          <cell r="I51">
            <v>3200000</v>
          </cell>
          <cell r="J51">
            <v>3200000</v>
          </cell>
          <cell r="K51">
            <v>3200000</v>
          </cell>
          <cell r="M51">
            <v>3200000</v>
          </cell>
          <cell r="N51">
            <v>3200000</v>
          </cell>
        </row>
        <row r="52">
          <cell r="F52">
            <v>3200000</v>
          </cell>
          <cell r="G52">
            <v>3200000</v>
          </cell>
          <cell r="I52">
            <v>3200000</v>
          </cell>
          <cell r="J52">
            <v>3200000</v>
          </cell>
          <cell r="K52">
            <v>3200000</v>
          </cell>
          <cell r="M52">
            <v>3200000</v>
          </cell>
          <cell r="N52">
            <v>3200000</v>
          </cell>
        </row>
        <row r="53">
          <cell r="F53">
            <v>3200000</v>
          </cell>
          <cell r="G53">
            <v>3200000</v>
          </cell>
          <cell r="I53">
            <v>3200000</v>
          </cell>
          <cell r="J53">
            <v>3200000</v>
          </cell>
          <cell r="K53">
            <v>3200000</v>
          </cell>
          <cell r="M53">
            <v>3200000</v>
          </cell>
          <cell r="N53">
            <v>3200000</v>
          </cell>
        </row>
        <row r="54">
          <cell r="F54">
            <v>710569.99999999988</v>
          </cell>
          <cell r="G54">
            <v>0</v>
          </cell>
          <cell r="I54">
            <v>0</v>
          </cell>
          <cell r="J54">
            <v>710569.99999999988</v>
          </cell>
          <cell r="K54">
            <v>0</v>
          </cell>
          <cell r="M54">
            <v>0</v>
          </cell>
          <cell r="N54">
            <v>710569.99999999988</v>
          </cell>
        </row>
        <row r="55"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M55">
            <v>0</v>
          </cell>
          <cell r="N55">
            <v>0</v>
          </cell>
        </row>
        <row r="56">
          <cell r="F56">
            <v>527852</v>
          </cell>
          <cell r="G56">
            <v>0</v>
          </cell>
          <cell r="I56">
            <v>0</v>
          </cell>
          <cell r="J56">
            <v>527852</v>
          </cell>
          <cell r="K56">
            <v>0</v>
          </cell>
          <cell r="M56">
            <v>0</v>
          </cell>
          <cell r="N56">
            <v>527852</v>
          </cell>
        </row>
        <row r="57">
          <cell r="F57">
            <v>1268874.9999999998</v>
          </cell>
          <cell r="G57">
            <v>1268874.9999999998</v>
          </cell>
          <cell r="I57">
            <v>1268874.9999999998</v>
          </cell>
          <cell r="J57">
            <v>1268874.9999999998</v>
          </cell>
          <cell r="K57">
            <v>1268874.9999999998</v>
          </cell>
          <cell r="M57">
            <v>1268874.9999999998</v>
          </cell>
          <cell r="N57">
            <v>1268874.9999999998</v>
          </cell>
        </row>
        <row r="58">
          <cell r="F58">
            <v>319756.49999999994</v>
          </cell>
          <cell r="G58">
            <v>319756.49999999994</v>
          </cell>
          <cell r="I58">
            <v>319756.49999999994</v>
          </cell>
          <cell r="J58">
            <v>319756.49999999994</v>
          </cell>
          <cell r="K58">
            <v>319756.49999999994</v>
          </cell>
          <cell r="M58">
            <v>319756.49999999994</v>
          </cell>
          <cell r="N58">
            <v>319756.49999999994</v>
          </cell>
        </row>
        <row r="59">
          <cell r="F59">
            <v>1015099.9999999999</v>
          </cell>
          <cell r="G59">
            <v>0</v>
          </cell>
          <cell r="I59">
            <v>0</v>
          </cell>
          <cell r="J59">
            <v>0</v>
          </cell>
          <cell r="K59">
            <v>0</v>
          </cell>
          <cell r="M59">
            <v>0</v>
          </cell>
          <cell r="N59">
            <v>0</v>
          </cell>
        </row>
        <row r="60"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M60">
            <v>3552849.9999999995</v>
          </cell>
          <cell r="N60">
            <v>3552849.9999999995</v>
          </cell>
        </row>
        <row r="61">
          <cell r="F61">
            <v>2537749.9999999995</v>
          </cell>
          <cell r="G61">
            <v>2537749.9999999995</v>
          </cell>
          <cell r="I61">
            <v>0</v>
          </cell>
          <cell r="J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F62">
            <v>2639259.9999999995</v>
          </cell>
          <cell r="G62">
            <v>2639259.9999999995</v>
          </cell>
          <cell r="I62">
            <v>2639259.9999999995</v>
          </cell>
          <cell r="J62">
            <v>2639259.9999999995</v>
          </cell>
          <cell r="K62">
            <v>2639259.9999999995</v>
          </cell>
          <cell r="M62">
            <v>2639259.9999999995</v>
          </cell>
          <cell r="N62">
            <v>2639259.9999999995</v>
          </cell>
        </row>
        <row r="63">
          <cell r="F63">
            <v>2000000</v>
          </cell>
          <cell r="G63">
            <v>2000000</v>
          </cell>
          <cell r="I63">
            <v>2000000</v>
          </cell>
          <cell r="J63">
            <v>2000000</v>
          </cell>
          <cell r="K63">
            <v>2000000</v>
          </cell>
          <cell r="M63">
            <v>2000000</v>
          </cell>
          <cell r="N63">
            <v>4030200</v>
          </cell>
        </row>
        <row r="64"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M64">
            <v>0</v>
          </cell>
          <cell r="N64">
            <v>0</v>
          </cell>
        </row>
        <row r="65">
          <cell r="F65">
            <v>1319629.9999999998</v>
          </cell>
          <cell r="G65">
            <v>0</v>
          </cell>
          <cell r="I65">
            <v>0</v>
          </cell>
          <cell r="J65">
            <v>1319629.9999999998</v>
          </cell>
          <cell r="K65">
            <v>0</v>
          </cell>
          <cell r="M65">
            <v>0</v>
          </cell>
          <cell r="N65">
            <v>1319629.9999999998</v>
          </cell>
        </row>
        <row r="66">
          <cell r="F66">
            <v>2030199.9999999998</v>
          </cell>
          <cell r="G66">
            <v>0</v>
          </cell>
          <cell r="I66">
            <v>0</v>
          </cell>
          <cell r="J66">
            <v>2030199.9999999998</v>
          </cell>
          <cell r="K66">
            <v>0</v>
          </cell>
          <cell r="M66">
            <v>0</v>
          </cell>
          <cell r="N66">
            <v>2030199.9999999998</v>
          </cell>
        </row>
        <row r="67">
          <cell r="F67">
            <v>213170.99999999997</v>
          </cell>
          <cell r="G67">
            <v>0</v>
          </cell>
          <cell r="I67">
            <v>0</v>
          </cell>
          <cell r="J67">
            <v>213170.99999999997</v>
          </cell>
          <cell r="K67">
            <v>0</v>
          </cell>
          <cell r="M67">
            <v>0</v>
          </cell>
          <cell r="N67">
            <v>213170.99999999997</v>
          </cell>
        </row>
        <row r="68">
          <cell r="F68">
            <v>213170.99999999997</v>
          </cell>
          <cell r="G68">
            <v>0</v>
          </cell>
          <cell r="I68">
            <v>0</v>
          </cell>
          <cell r="J68">
            <v>213170.99999999997</v>
          </cell>
          <cell r="K68">
            <v>0</v>
          </cell>
          <cell r="M68">
            <v>0</v>
          </cell>
          <cell r="N68">
            <v>213170.99999999997</v>
          </cell>
        </row>
        <row r="69">
          <cell r="F69">
            <v>0</v>
          </cell>
          <cell r="G69">
            <v>101509.99999999999</v>
          </cell>
          <cell r="I69">
            <v>101509.99999999999</v>
          </cell>
          <cell r="J69">
            <v>0</v>
          </cell>
          <cell r="K69">
            <v>101509.99999999999</v>
          </cell>
          <cell r="M69">
            <v>101509.99999999999</v>
          </cell>
          <cell r="N69">
            <v>0</v>
          </cell>
        </row>
        <row r="70"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M70">
            <v>0</v>
          </cell>
          <cell r="N70">
            <v>0</v>
          </cell>
        </row>
        <row r="71">
          <cell r="F71">
            <v>20000000</v>
          </cell>
          <cell r="G71">
            <v>20000000</v>
          </cell>
          <cell r="I71">
            <v>20000000</v>
          </cell>
          <cell r="J71">
            <v>20000000</v>
          </cell>
          <cell r="K71">
            <v>20000000</v>
          </cell>
          <cell r="M71">
            <v>20000000</v>
          </cell>
          <cell r="N71">
            <v>20000000</v>
          </cell>
        </row>
        <row r="72">
          <cell r="F72">
            <v>1000000</v>
          </cell>
          <cell r="G72">
            <v>1000000</v>
          </cell>
          <cell r="I72">
            <v>1000000</v>
          </cell>
          <cell r="J72">
            <v>1000000</v>
          </cell>
          <cell r="K72">
            <v>1000000</v>
          </cell>
          <cell r="M72">
            <v>1000000</v>
          </cell>
          <cell r="N72">
            <v>1000000</v>
          </cell>
        </row>
        <row r="73">
          <cell r="F73">
            <v>20301999.999999996</v>
          </cell>
          <cell r="G73">
            <v>20301999.999999996</v>
          </cell>
          <cell r="I73">
            <v>20301999.999999996</v>
          </cell>
          <cell r="J73">
            <v>20301999.999999996</v>
          </cell>
          <cell r="K73">
            <v>20301999.999999996</v>
          </cell>
          <cell r="M73">
            <v>20301999.999999996</v>
          </cell>
          <cell r="N73">
            <v>20301999.999999996</v>
          </cell>
        </row>
        <row r="74">
          <cell r="F74">
            <v>639512.99999999988</v>
          </cell>
          <cell r="G74">
            <v>639512.99999999988</v>
          </cell>
          <cell r="I74">
            <v>0</v>
          </cell>
          <cell r="J74">
            <v>0</v>
          </cell>
          <cell r="K74">
            <v>0</v>
          </cell>
          <cell r="M74">
            <v>0</v>
          </cell>
          <cell r="N74">
            <v>0</v>
          </cell>
        </row>
        <row r="75">
          <cell r="F75">
            <v>1055704</v>
          </cell>
          <cell r="G75">
            <v>1055704</v>
          </cell>
          <cell r="I75">
            <v>1055704</v>
          </cell>
          <cell r="J75">
            <v>1055704</v>
          </cell>
          <cell r="K75">
            <v>1055704</v>
          </cell>
          <cell r="M75">
            <v>1055704</v>
          </cell>
          <cell r="N75">
            <v>1055704</v>
          </cell>
        </row>
        <row r="76">
          <cell r="F76">
            <v>507549.99999999994</v>
          </cell>
          <cell r="G76">
            <v>507549.99999999994</v>
          </cell>
          <cell r="I76">
            <v>507549.99999999994</v>
          </cell>
          <cell r="J76">
            <v>507549.99999999994</v>
          </cell>
          <cell r="K76">
            <v>507549.99999999994</v>
          </cell>
          <cell r="M76">
            <v>507549.99999999994</v>
          </cell>
          <cell r="N76">
            <v>507549.99999999994</v>
          </cell>
        </row>
        <row r="77">
          <cell r="F77">
            <v>2030199.9999999998</v>
          </cell>
          <cell r="G77">
            <v>0</v>
          </cell>
          <cell r="I77">
            <v>0</v>
          </cell>
          <cell r="J77">
            <v>2030199.9999999998</v>
          </cell>
          <cell r="K77">
            <v>0</v>
          </cell>
          <cell r="M77">
            <v>0</v>
          </cell>
          <cell r="N77">
            <v>2030199.9999999998</v>
          </cell>
        </row>
        <row r="78">
          <cell r="F78">
            <v>2500000</v>
          </cell>
          <cell r="G78">
            <v>0</v>
          </cell>
          <cell r="I78">
            <v>0</v>
          </cell>
          <cell r="J78">
            <v>2500000</v>
          </cell>
          <cell r="K78">
            <v>0</v>
          </cell>
          <cell r="M78">
            <v>0</v>
          </cell>
          <cell r="N78">
            <v>2500000</v>
          </cell>
        </row>
        <row r="79">
          <cell r="F79">
            <v>1319629.9999999998</v>
          </cell>
          <cell r="G79">
            <v>1319629.9999999998</v>
          </cell>
          <cell r="I79">
            <v>1319629.9999999998</v>
          </cell>
          <cell r="J79">
            <v>1319629.9999999998</v>
          </cell>
          <cell r="K79">
            <v>1319629.9999999998</v>
          </cell>
          <cell r="M79">
            <v>1319629.9999999998</v>
          </cell>
          <cell r="N79">
            <v>1319629.9999999998</v>
          </cell>
        </row>
        <row r="80">
          <cell r="F80">
            <v>6000000</v>
          </cell>
          <cell r="G80"/>
          <cell r="I80"/>
          <cell r="J80"/>
          <cell r="K80"/>
          <cell r="M80"/>
          <cell r="N80"/>
        </row>
        <row r="81">
          <cell r="F81">
            <v>4060399.9999999995</v>
          </cell>
          <cell r="G81">
            <v>4060399.9999999995</v>
          </cell>
          <cell r="I81">
            <v>4060399.9999999995</v>
          </cell>
          <cell r="J81">
            <v>4060399.9999999995</v>
          </cell>
          <cell r="K81">
            <v>4060399.9999999995</v>
          </cell>
          <cell r="M81">
            <v>4060399.9999999995</v>
          </cell>
          <cell r="N81">
            <v>4060399.9999999995</v>
          </cell>
        </row>
        <row r="82">
          <cell r="F82">
            <v>1500000</v>
          </cell>
          <cell r="G82">
            <v>1500000</v>
          </cell>
          <cell r="I82">
            <v>1500000</v>
          </cell>
          <cell r="J82">
            <v>1500000</v>
          </cell>
          <cell r="K82">
            <v>1500000</v>
          </cell>
          <cell r="M82">
            <v>1500000</v>
          </cell>
          <cell r="N82">
            <v>1500000</v>
          </cell>
        </row>
        <row r="83">
          <cell r="F83">
            <v>0</v>
          </cell>
          <cell r="G83">
            <v>0</v>
          </cell>
          <cell r="I83">
            <v>0</v>
          </cell>
          <cell r="J83">
            <v>0</v>
          </cell>
          <cell r="K83">
            <v>0</v>
          </cell>
          <cell r="M83">
            <v>0</v>
          </cell>
          <cell r="N83">
            <v>0</v>
          </cell>
        </row>
        <row r="84">
          <cell r="F84">
            <v>2000000</v>
          </cell>
          <cell r="G84">
            <v>2000000</v>
          </cell>
          <cell r="I84">
            <v>2000000</v>
          </cell>
          <cell r="J84">
            <v>2000000</v>
          </cell>
          <cell r="K84">
            <v>2000000</v>
          </cell>
          <cell r="M84">
            <v>2000000</v>
          </cell>
          <cell r="N84">
            <v>2000000</v>
          </cell>
        </row>
        <row r="85">
          <cell r="I85">
            <v>56581613.600000001</v>
          </cell>
          <cell r="J85">
            <v>56581613.600000001</v>
          </cell>
          <cell r="K85">
            <v>56581613.600000001</v>
          </cell>
          <cell r="M85">
            <v>56581613.600000001</v>
          </cell>
          <cell r="N85">
            <v>56581613.600000001</v>
          </cell>
        </row>
        <row r="89">
          <cell r="M89">
            <v>-12292881289.611368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202210 (2)"/>
      <sheetName val="situacionfra202210"/>
      <sheetName val="Cambiosenelpatrimonio "/>
      <sheetName val="Resultados202210"/>
      <sheetName val="Flujo de efectivo"/>
    </sheetNames>
    <sheetDataSet>
      <sheetData sheetId="0"/>
      <sheetData sheetId="1"/>
      <sheetData sheetId="2"/>
      <sheetData sheetId="3">
        <row r="12">
          <cell r="L12">
            <v>64241925.990000002</v>
          </cell>
        </row>
        <row r="28">
          <cell r="L28">
            <v>3720068.9299999997</v>
          </cell>
        </row>
        <row r="42">
          <cell r="L42">
            <v>103960183.23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202211 (2)"/>
      <sheetName val="situacionfra202211"/>
      <sheetName val="Cambiosenelpatrimonio "/>
      <sheetName val="Resultados202211"/>
      <sheetName val="Flujo de efectivo"/>
    </sheetNames>
    <sheetDataSet>
      <sheetData sheetId="0"/>
      <sheetData sheetId="1"/>
      <sheetData sheetId="2"/>
      <sheetData sheetId="3">
        <row r="12">
          <cell r="M12">
            <v>71435789.409999996</v>
          </cell>
        </row>
        <row r="28">
          <cell r="M28">
            <v>3775773</v>
          </cell>
        </row>
        <row r="42">
          <cell r="M42">
            <v>78983314.430000007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11 (3)"/>
      <sheetName val="Resultados202211 (2)"/>
      <sheetName val="situacionfra202211"/>
      <sheetName val="Cambiosenelpatrimonio "/>
      <sheetName val="Resultados202211"/>
      <sheetName val="Flujo de efectivo"/>
    </sheetNames>
    <sheetDataSet>
      <sheetData sheetId="0"/>
      <sheetData sheetId="1"/>
      <sheetData sheetId="2"/>
      <sheetData sheetId="3"/>
      <sheetData sheetId="4">
        <row r="12">
          <cell r="N12">
            <v>74958126.920000002</v>
          </cell>
        </row>
        <row r="28">
          <cell r="N28">
            <v>1859258</v>
          </cell>
        </row>
        <row r="42">
          <cell r="N42">
            <v>83892999.109999999</v>
          </cell>
        </row>
        <row r="116">
          <cell r="N116">
            <v>53214485.5</v>
          </cell>
        </row>
      </sheetData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onPptalPasiva"/>
    </sheetNames>
    <sheetDataSet>
      <sheetData sheetId="0">
        <row r="25">
          <cell r="Y25">
            <v>3107166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"/>
      <sheetName val="pagosNovnom"/>
      <sheetName val="pagosNovnom(2)"/>
      <sheetName val="pagosOctnom"/>
      <sheetName val="pagosOct"/>
      <sheetName val="pagossept"/>
      <sheetName val="pagosNnaagosto"/>
      <sheetName val="Noviembre"/>
      <sheetName val="Octubre "/>
      <sheetName val="Septiembre"/>
      <sheetName val="Agosto"/>
      <sheetName val="Julio"/>
      <sheetName val="Anexo"/>
      <sheetName val="Junio"/>
      <sheetName val="Hoja1"/>
      <sheetName val="Mayo2022"/>
      <sheetName val="Abril2022"/>
      <sheetName val="Marzo2022"/>
      <sheetName val="Feb2022"/>
      <sheetName val="En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1">
          <cell r="I141">
            <v>297366193.06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2022"/>
    </sheetNames>
    <sheetDataSet>
      <sheetData sheetId="0">
        <row r="9">
          <cell r="L9">
            <v>19735200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resultados202204"/>
      <sheetName val="situacionfra202204"/>
      <sheetName val="detalle resultados03"/>
      <sheetName val="situacionfra202203"/>
      <sheetName val="Cambiosenelpatrimonio "/>
      <sheetName val="Resultados202204"/>
      <sheetName val="Flujo de efectivo4"/>
    </sheetNames>
    <sheetDataSet>
      <sheetData sheetId="0"/>
      <sheetData sheetId="1"/>
      <sheetData sheetId="2"/>
      <sheetData sheetId="3"/>
      <sheetData sheetId="4"/>
      <sheetData sheetId="5">
        <row r="12">
          <cell r="F12">
            <v>70789187</v>
          </cell>
        </row>
        <row r="28">
          <cell r="F28">
            <v>3086466</v>
          </cell>
        </row>
        <row r="42">
          <cell r="F42">
            <v>86472602</v>
          </cell>
        </row>
        <row r="115">
          <cell r="F115">
            <v>34836091.079999998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resultados202205"/>
      <sheetName val="Resultados202205detalle"/>
      <sheetName val="situacionfra202205"/>
      <sheetName val="Cambiosenelpatrimonio "/>
      <sheetName val="Resultados202205"/>
      <sheetName val="Flujo de efectivo5"/>
    </sheetNames>
    <sheetDataSet>
      <sheetData sheetId="0"/>
      <sheetData sheetId="1"/>
      <sheetData sheetId="2"/>
      <sheetData sheetId="3"/>
      <sheetData sheetId="4">
        <row r="12">
          <cell r="G12">
            <v>70502084</v>
          </cell>
        </row>
        <row r="28">
          <cell r="G28">
            <v>3394273</v>
          </cell>
        </row>
        <row r="42">
          <cell r="G42">
            <v>93538914</v>
          </cell>
        </row>
        <row r="115">
          <cell r="G115">
            <v>43979229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resultados202205"/>
      <sheetName val="situacionfra202206"/>
      <sheetName val="Cambiosenelpatrimonio "/>
      <sheetName val="Resultados202205"/>
      <sheetName val="Flujo de efectivo5"/>
      <sheetName val="DetalleResultados202206 "/>
      <sheetName val="Resultados202206"/>
    </sheetNames>
    <sheetDataSet>
      <sheetData sheetId="0" refreshError="1"/>
      <sheetData sheetId="1" refreshError="1"/>
      <sheetData sheetId="2" refreshError="1"/>
      <sheetData sheetId="3" refreshError="1">
        <row r="12">
          <cell r="H12">
            <v>71927320.75</v>
          </cell>
        </row>
        <row r="28">
          <cell r="H28">
            <v>3743961.94</v>
          </cell>
        </row>
        <row r="42">
          <cell r="H42">
            <v>84124502.019999996</v>
          </cell>
        </row>
        <row r="113">
          <cell r="H113">
            <v>38717485.140000001</v>
          </cell>
        </row>
      </sheetData>
      <sheetData sheetId="4" refreshError="1"/>
      <sheetData sheetId="5"/>
      <sheetData sheetId="6">
        <row r="7">
          <cell r="H7">
            <v>22428827.699999999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resultados202205"/>
      <sheetName val="Resultados202207 (2)"/>
      <sheetName val="situacionfra202207"/>
      <sheetName val="DetalleResultados202206 "/>
      <sheetName val="situacionfra202206"/>
      <sheetName val="Cambiosenelpatrimonio "/>
      <sheetName val="Resultados202207"/>
      <sheetName val="Flujo de efectivo5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I12">
            <v>67609696.789999992</v>
          </cell>
        </row>
        <row r="28">
          <cell r="I28">
            <v>3127271</v>
          </cell>
        </row>
        <row r="42">
          <cell r="I42">
            <v>87104693</v>
          </cell>
        </row>
      </sheetData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202208 (2)"/>
      <sheetName val="situacionfra202208"/>
      <sheetName val="Cambiosenelpatrimonio "/>
      <sheetName val="Resultados202208"/>
      <sheetName val="Flujo de efectivo5"/>
    </sheetNames>
    <sheetDataSet>
      <sheetData sheetId="0"/>
      <sheetData sheetId="1"/>
      <sheetData sheetId="2"/>
      <sheetData sheetId="3">
        <row r="12">
          <cell r="J12">
            <v>69253041</v>
          </cell>
        </row>
        <row r="28">
          <cell r="J28">
            <v>3024851</v>
          </cell>
        </row>
        <row r="42">
          <cell r="J42">
            <v>89009572</v>
          </cell>
        </row>
      </sheetData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Resultados202209 "/>
      <sheetName val="situacionfra202209"/>
      <sheetName val="Cambiosenelpatrimonio "/>
      <sheetName val="Resultados202209"/>
      <sheetName val="Flujo de efectivo"/>
    </sheetNames>
    <sheetDataSet>
      <sheetData sheetId="0"/>
      <sheetData sheetId="1"/>
      <sheetData sheetId="2"/>
      <sheetData sheetId="3">
        <row r="12">
          <cell r="K12">
            <v>63609348.439999998</v>
          </cell>
        </row>
        <row r="28">
          <cell r="K28">
            <v>3663897</v>
          </cell>
        </row>
        <row r="42">
          <cell r="K42">
            <v>94482686</v>
          </cell>
        </row>
      </sheetData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2454-C6BE-414B-99E5-FA325E3C382B}">
  <dimension ref="A1:AT122"/>
  <sheetViews>
    <sheetView showGridLines="0" tabSelected="1" zoomScale="86" zoomScaleNormal="86" workbookViewId="0">
      <pane xSplit="1" ySplit="6" topLeftCell="D20" activePane="bottomRight" state="frozen"/>
      <selection pane="topRight" activeCell="B1" sqref="B1"/>
      <selection pane="bottomLeft" activeCell="A5" sqref="A5"/>
      <selection pane="bottomRight" activeCell="L5" sqref="L5:N5"/>
    </sheetView>
  </sheetViews>
  <sheetFormatPr baseColWidth="10" defaultColWidth="11.42578125" defaultRowHeight="15" x14ac:dyDescent="0.25"/>
  <cols>
    <col min="1" max="1" width="49.28515625" customWidth="1"/>
    <col min="2" max="2" width="16.7109375" bestFit="1" customWidth="1"/>
    <col min="3" max="5" width="14" customWidth="1"/>
    <col min="6" max="6" width="15.5703125" customWidth="1"/>
    <col min="7" max="8" width="14" customWidth="1"/>
    <col min="9" max="9" width="15.5703125" customWidth="1"/>
    <col min="10" max="23" width="14" customWidth="1"/>
    <col min="24" max="24" width="15.5703125" customWidth="1"/>
    <col min="25" max="35" width="14" customWidth="1"/>
    <col min="36" max="36" width="14" bestFit="1" customWidth="1"/>
    <col min="37" max="38" width="15.5703125" bestFit="1" customWidth="1"/>
    <col min="39" max="39" width="16.7109375" bestFit="1" customWidth="1"/>
    <col min="40" max="40" width="15.5703125" bestFit="1" customWidth="1"/>
    <col min="41" max="41" width="15.5703125" customWidth="1"/>
    <col min="42" max="42" width="11.42578125" bestFit="1" customWidth="1"/>
    <col min="43" max="43" width="17.85546875" bestFit="1" customWidth="1"/>
    <col min="44" max="44" width="16.7109375" bestFit="1" customWidth="1"/>
    <col min="45" max="45" width="15.5703125" customWidth="1"/>
    <col min="46" max="46" width="13.5703125" bestFit="1" customWidth="1"/>
  </cols>
  <sheetData>
    <row r="1" spans="1:46" x14ac:dyDescent="0.25">
      <c r="A1" s="42" t="s">
        <v>78</v>
      </c>
      <c r="B1" s="42"/>
      <c r="C1" s="42"/>
      <c r="D1" s="29"/>
      <c r="E1" s="29"/>
    </row>
    <row r="2" spans="1:46" x14ac:dyDescent="0.25">
      <c r="A2" s="29"/>
      <c r="B2" s="29"/>
      <c r="C2" s="29"/>
      <c r="D2" s="29"/>
      <c r="E2" s="29"/>
    </row>
    <row r="3" spans="1:46" x14ac:dyDescent="0.25">
      <c r="A3" s="43" t="s">
        <v>83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</row>
    <row r="4" spans="1:46" ht="15.75" thickBot="1" x14ac:dyDescent="0.3">
      <c r="A4" s="31"/>
      <c r="B4" s="44"/>
      <c r="C4" s="44"/>
      <c r="D4" s="44"/>
      <c r="E4" s="44"/>
      <c r="F4" s="44" t="s">
        <v>97</v>
      </c>
      <c r="G4" s="44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</row>
    <row r="5" spans="1:46" ht="15.75" thickBot="1" x14ac:dyDescent="0.3">
      <c r="A5" s="30"/>
      <c r="B5" s="26" t="s">
        <v>93</v>
      </c>
      <c r="C5" s="45" t="s">
        <v>94</v>
      </c>
      <c r="D5" s="46"/>
      <c r="E5" s="47"/>
      <c r="F5" s="45" t="s">
        <v>97</v>
      </c>
      <c r="G5" s="46"/>
      <c r="H5" s="47"/>
      <c r="I5" s="45" t="s">
        <v>103</v>
      </c>
      <c r="J5" s="46"/>
      <c r="K5" s="46"/>
      <c r="L5" s="45" t="s">
        <v>104</v>
      </c>
      <c r="M5" s="46"/>
      <c r="N5" s="46"/>
      <c r="O5" s="45" t="s">
        <v>105</v>
      </c>
      <c r="P5" s="46"/>
      <c r="Q5" s="46"/>
      <c r="R5" s="45" t="s">
        <v>107</v>
      </c>
      <c r="S5" s="46"/>
      <c r="T5" s="46"/>
      <c r="U5" s="45" t="s">
        <v>109</v>
      </c>
      <c r="V5" s="46"/>
      <c r="W5" s="46"/>
      <c r="X5" s="45" t="s">
        <v>110</v>
      </c>
      <c r="Y5" s="46"/>
      <c r="Z5" s="46"/>
      <c r="AA5" s="45" t="s">
        <v>112</v>
      </c>
      <c r="AB5" s="46"/>
      <c r="AC5" s="46"/>
      <c r="AD5" s="45" t="s">
        <v>114</v>
      </c>
      <c r="AE5" s="46"/>
      <c r="AF5" s="46"/>
      <c r="AG5" s="45" t="s">
        <v>118</v>
      </c>
      <c r="AH5" s="46"/>
      <c r="AI5" s="46"/>
      <c r="AJ5" s="45" t="s">
        <v>120</v>
      </c>
      <c r="AK5" s="46"/>
      <c r="AL5" s="46"/>
      <c r="AM5" s="45" t="s">
        <v>74</v>
      </c>
      <c r="AN5" s="46"/>
      <c r="AO5" s="46"/>
      <c r="AP5" s="47"/>
      <c r="AQ5" s="36"/>
      <c r="AR5" s="31"/>
      <c r="AS5" s="31"/>
    </row>
    <row r="6" spans="1:46" s="18" customFormat="1" ht="30" x14ac:dyDescent="0.25">
      <c r="A6" s="16" t="s">
        <v>75</v>
      </c>
      <c r="B6" s="17" t="s">
        <v>67</v>
      </c>
      <c r="C6" s="17" t="s">
        <v>68</v>
      </c>
      <c r="D6" s="25" t="s">
        <v>96</v>
      </c>
      <c r="E6" s="25" t="s">
        <v>95</v>
      </c>
      <c r="F6" s="17" t="s">
        <v>69</v>
      </c>
      <c r="G6" s="17" t="s">
        <v>96</v>
      </c>
      <c r="H6" s="17" t="s">
        <v>95</v>
      </c>
      <c r="I6" s="17" t="s">
        <v>70</v>
      </c>
      <c r="J6" s="17" t="s">
        <v>96</v>
      </c>
      <c r="K6" s="17" t="s">
        <v>95</v>
      </c>
      <c r="L6" s="17" t="s">
        <v>71</v>
      </c>
      <c r="M6" s="17" t="s">
        <v>96</v>
      </c>
      <c r="N6" s="17" t="s">
        <v>95</v>
      </c>
      <c r="O6" s="17" t="s">
        <v>72</v>
      </c>
      <c r="P6" s="17" t="s">
        <v>96</v>
      </c>
      <c r="Q6" s="17" t="s">
        <v>95</v>
      </c>
      <c r="R6" s="17" t="s">
        <v>5</v>
      </c>
      <c r="S6" s="17" t="s">
        <v>96</v>
      </c>
      <c r="T6" s="17" t="s">
        <v>95</v>
      </c>
      <c r="U6" s="17" t="s">
        <v>4</v>
      </c>
      <c r="V6" s="17" t="s">
        <v>96</v>
      </c>
      <c r="W6" s="17" t="s">
        <v>95</v>
      </c>
      <c r="X6" s="17" t="s">
        <v>73</v>
      </c>
      <c r="Y6" s="17" t="s">
        <v>96</v>
      </c>
      <c r="Z6" s="17" t="s">
        <v>95</v>
      </c>
      <c r="AA6" s="17" t="s">
        <v>113</v>
      </c>
      <c r="AB6" s="17" t="s">
        <v>96</v>
      </c>
      <c r="AC6" s="17" t="s">
        <v>95</v>
      </c>
      <c r="AD6" s="17" t="s">
        <v>115</v>
      </c>
      <c r="AE6" s="17" t="s">
        <v>96</v>
      </c>
      <c r="AF6" s="17" t="s">
        <v>95</v>
      </c>
      <c r="AG6" s="17" t="s">
        <v>119</v>
      </c>
      <c r="AH6" s="17" t="s">
        <v>96</v>
      </c>
      <c r="AI6" s="17" t="s">
        <v>95</v>
      </c>
      <c r="AJ6" s="17" t="s">
        <v>121</v>
      </c>
      <c r="AK6" s="17" t="s">
        <v>96</v>
      </c>
      <c r="AL6" s="17" t="s">
        <v>95</v>
      </c>
      <c r="AM6" s="27" t="s">
        <v>100</v>
      </c>
      <c r="AN6" s="27" t="s">
        <v>98</v>
      </c>
      <c r="AO6" s="27" t="s">
        <v>99</v>
      </c>
      <c r="AP6" s="34" t="s">
        <v>101</v>
      </c>
      <c r="AQ6" s="37"/>
      <c r="AR6" s="35"/>
      <c r="AS6" s="35"/>
    </row>
    <row r="7" spans="1:46" x14ac:dyDescent="0.25">
      <c r="A7" s="5" t="s">
        <v>3</v>
      </c>
      <c r="B7" s="4">
        <v>104128667.74984799</v>
      </c>
      <c r="C7" s="4">
        <v>0</v>
      </c>
      <c r="D7" s="4">
        <v>0</v>
      </c>
      <c r="E7" s="4">
        <f t="shared" ref="E7:E11" si="0">+C7-D7</f>
        <v>0</v>
      </c>
      <c r="F7" s="4"/>
      <c r="G7" s="4"/>
      <c r="H7" s="4">
        <f t="shared" ref="H7:H11" si="1">+F7-G7</f>
        <v>0</v>
      </c>
      <c r="I7" s="4">
        <v>9345592.2411047295</v>
      </c>
      <c r="J7" s="4">
        <v>0</v>
      </c>
      <c r="K7" s="4">
        <f t="shared" ref="K7:K11" si="2">+I7-J7</f>
        <v>9345592.2411047295</v>
      </c>
      <c r="L7" s="4">
        <v>9345592.2411047295</v>
      </c>
      <c r="M7" s="4">
        <v>0</v>
      </c>
      <c r="N7" s="4">
        <f t="shared" ref="N7:N11" si="3">+L7-M7</f>
        <v>9345592.2411047295</v>
      </c>
      <c r="O7" s="4">
        <v>9345592.2411047295</v>
      </c>
      <c r="P7" s="4">
        <v>0</v>
      </c>
      <c r="Q7" s="4">
        <f t="shared" ref="Q7:Q11" si="4">+O7-P7</f>
        <v>9345592.2411047295</v>
      </c>
      <c r="R7" s="4">
        <v>9345592.2411047295</v>
      </c>
      <c r="S7" s="4">
        <v>0</v>
      </c>
      <c r="T7" s="4">
        <f>+R7-S7</f>
        <v>9345592.2411047295</v>
      </c>
      <c r="U7" s="4">
        <v>9812871.8531599659</v>
      </c>
      <c r="V7" s="4">
        <v>0</v>
      </c>
      <c r="W7" s="4">
        <f>+U7-V7</f>
        <v>9812871.8531599659</v>
      </c>
      <c r="X7" s="4">
        <f>+'[1]Déficit P&amp;K feb16'!J5</f>
        <v>10303515.445817964</v>
      </c>
      <c r="Y7" s="4">
        <v>0</v>
      </c>
      <c r="Z7" s="4">
        <f>+X7-Y7</f>
        <v>10303515.445817964</v>
      </c>
      <c r="AA7" s="4">
        <f>+'[1]Déficit P&amp;K feb16'!K5</f>
        <v>10818691.218108863</v>
      </c>
      <c r="AB7" s="4">
        <v>0</v>
      </c>
      <c r="AC7" s="4">
        <f t="shared" ref="AC7:AC18" si="5">+AA7-AB7</f>
        <v>10818691.218108863</v>
      </c>
      <c r="AD7" s="4">
        <v>11359625.779014306</v>
      </c>
      <c r="AE7" s="4">
        <v>0</v>
      </c>
      <c r="AF7" s="4">
        <f t="shared" ref="AF7:AF11" si="6">+AD7-AE7</f>
        <v>11359625.779014306</v>
      </c>
      <c r="AG7" s="4">
        <f>+'[1]Déficit P&amp;K feb16'!M5</f>
        <v>11927607.067965021</v>
      </c>
      <c r="AH7" s="4">
        <v>0</v>
      </c>
      <c r="AI7" s="4">
        <f t="shared" ref="AI7:AI11" si="7">+AG7-AH7</f>
        <v>11927607.067965021</v>
      </c>
      <c r="AJ7" s="4">
        <f>+'[1]Déficit P&amp;K feb16'!N5</f>
        <v>12523987.421363274</v>
      </c>
      <c r="AK7" s="4">
        <v>0</v>
      </c>
      <c r="AL7" s="4">
        <f t="shared" ref="AL7:AL11" si="8">+AJ7-AK7</f>
        <v>12523987.421363274</v>
      </c>
      <c r="AM7" s="4">
        <f>+C7+F7+I7+L7+O7+R7+U7+X7+AA7+AD7+AG7+AJ7</f>
        <v>104128667.74984831</v>
      </c>
      <c r="AN7" s="4">
        <f>+D7+G7+J7+M7+P7+S7+V7+Y7+AB7+AE7+AH7+AK7</f>
        <v>0</v>
      </c>
      <c r="AO7" s="4">
        <f>+AM7-AN7</f>
        <v>104128667.74984831</v>
      </c>
      <c r="AP7" s="21">
        <f t="shared" ref="AP7:AP18" si="9">+AO7/AM7</f>
        <v>1</v>
      </c>
      <c r="AQ7" s="38"/>
      <c r="AR7" s="39"/>
      <c r="AS7" s="39"/>
      <c r="AT7" s="39"/>
    </row>
    <row r="8" spans="1:46" x14ac:dyDescent="0.25">
      <c r="A8" s="5" t="s">
        <v>63</v>
      </c>
      <c r="B8" s="4">
        <v>26355760.081944499</v>
      </c>
      <c r="C8" s="4">
        <v>0</v>
      </c>
      <c r="D8" s="4">
        <v>0</v>
      </c>
      <c r="E8" s="4">
        <f t="shared" si="0"/>
        <v>0</v>
      </c>
      <c r="F8" s="4"/>
      <c r="G8" s="4"/>
      <c r="H8" s="4">
        <f t="shared" si="1"/>
        <v>0</v>
      </c>
      <c r="I8" s="4">
        <v>2635576.0081944484</v>
      </c>
      <c r="J8" s="4">
        <v>0</v>
      </c>
      <c r="K8" s="4">
        <f t="shared" si="2"/>
        <v>2635576.0081944484</v>
      </c>
      <c r="L8" s="4">
        <v>2635576.0081944484</v>
      </c>
      <c r="M8" s="4">
        <v>0</v>
      </c>
      <c r="N8" s="4">
        <f t="shared" si="3"/>
        <v>2635576.0081944484</v>
      </c>
      <c r="O8" s="4">
        <v>2635576.0081944484</v>
      </c>
      <c r="P8" s="4">
        <v>1792637.48</v>
      </c>
      <c r="Q8" s="4">
        <f t="shared" si="4"/>
        <v>842938.52819444844</v>
      </c>
      <c r="R8" s="4">
        <v>2635576.0081944484</v>
      </c>
      <c r="S8" s="4">
        <v>2634962.4900000002</v>
      </c>
      <c r="T8" s="4">
        <f t="shared" ref="T8:T11" si="10">+R8-S8</f>
        <v>613.51819444820285</v>
      </c>
      <c r="U8" s="4">
        <v>2635576.0081944484</v>
      </c>
      <c r="V8" s="4">
        <v>0</v>
      </c>
      <c r="W8" s="4">
        <f t="shared" ref="W8:W11" si="11">+U8-V8</f>
        <v>2635576.0081944484</v>
      </c>
      <c r="X8" s="4">
        <f>+'[1]Déficit P&amp;K feb16'!J6</f>
        <v>2635576.0081944484</v>
      </c>
      <c r="Y8" s="4">
        <f>2047210.47+3120+4800</f>
        <v>2055130.47</v>
      </c>
      <c r="Z8" s="4">
        <f t="shared" ref="Z8:Z11" si="12">+X8-Y8</f>
        <v>580445.53819444845</v>
      </c>
      <c r="AA8" s="4">
        <f>+'[1]Déficit P&amp;K feb16'!K6</f>
        <v>2635576.0081944484</v>
      </c>
      <c r="AB8" s="4">
        <f>26637.5+49356.25</f>
        <v>75993.75</v>
      </c>
      <c r="AC8" s="4">
        <f t="shared" si="5"/>
        <v>2559582.2581944484</v>
      </c>
      <c r="AD8" s="4">
        <v>2635576.0081944484</v>
      </c>
      <c r="AE8" s="4">
        <v>0</v>
      </c>
      <c r="AF8" s="4">
        <f t="shared" si="6"/>
        <v>2635576.0081944484</v>
      </c>
      <c r="AG8" s="4">
        <f>+'[1]Déficit P&amp;K feb16'!M6</f>
        <v>2635576.0081944484</v>
      </c>
      <c r="AH8" s="4">
        <v>0</v>
      </c>
      <c r="AI8" s="4">
        <f t="shared" si="7"/>
        <v>2635576.0081944484</v>
      </c>
      <c r="AJ8" s="4">
        <f>+'[1]Déficit P&amp;K feb16'!N6</f>
        <v>2635576.0081944484</v>
      </c>
      <c r="AK8" s="4">
        <v>0</v>
      </c>
      <c r="AL8" s="4">
        <f t="shared" si="8"/>
        <v>2635576.0081944484</v>
      </c>
      <c r="AM8" s="4">
        <f>+C8+F8+I8+L8+O8+R8+U8+X8+AA8+AD8+AG8+AJ8</f>
        <v>26355760.081944481</v>
      </c>
      <c r="AN8" s="4">
        <f t="shared" ref="AN8:AN18" si="13">+D8+G8+J8+M8+P8+S8+V8+Y8+AB8+AE8+AH8+AK8</f>
        <v>6558724.1900000004</v>
      </c>
      <c r="AO8" s="4">
        <f t="shared" ref="AO8:AO18" si="14">+AM8-AN8</f>
        <v>19797035.891944479</v>
      </c>
      <c r="AP8" s="21">
        <f t="shared" si="9"/>
        <v>0.75114646021940457</v>
      </c>
      <c r="AQ8" s="38"/>
      <c r="AR8" s="39"/>
      <c r="AS8" s="39"/>
      <c r="AT8" s="39"/>
    </row>
    <row r="9" spans="1:46" x14ac:dyDescent="0.25">
      <c r="A9" s="5" t="s">
        <v>64</v>
      </c>
      <c r="B9" s="4">
        <v>108422207.91079099</v>
      </c>
      <c r="C9" s="4">
        <v>0</v>
      </c>
      <c r="D9" s="4">
        <v>0</v>
      </c>
      <c r="E9" s="4">
        <f t="shared" si="0"/>
        <v>0</v>
      </c>
      <c r="F9" s="4"/>
      <c r="G9" s="4"/>
      <c r="H9" s="4">
        <f t="shared" si="1"/>
        <v>0</v>
      </c>
      <c r="I9" s="4">
        <v>9730939.2976077199</v>
      </c>
      <c r="J9" s="4">
        <v>0</v>
      </c>
      <c r="K9" s="4">
        <f t="shared" si="2"/>
        <v>9730939.2976077199</v>
      </c>
      <c r="L9" s="4">
        <v>9730939.2976077199</v>
      </c>
      <c r="M9" s="4">
        <v>0</v>
      </c>
      <c r="N9" s="4">
        <f t="shared" si="3"/>
        <v>9730939.2976077199</v>
      </c>
      <c r="O9" s="4">
        <v>9730939.2976077199</v>
      </c>
      <c r="P9" s="4">
        <v>0</v>
      </c>
      <c r="Q9" s="4">
        <f t="shared" si="4"/>
        <v>9730939.2976077199</v>
      </c>
      <c r="R9" s="4">
        <v>9730939.2976077199</v>
      </c>
      <c r="S9" s="4">
        <v>4082400</v>
      </c>
      <c r="T9" s="4">
        <f t="shared" si="10"/>
        <v>5648539.2976077199</v>
      </c>
      <c r="U9" s="4">
        <v>10217486.262488106</v>
      </c>
      <c r="V9" s="4">
        <f>+[2]Julio!$I$141+[2]Julio!$I$142</f>
        <v>297366193.06</v>
      </c>
      <c r="W9" s="4">
        <f t="shared" si="11"/>
        <v>-287148706.79751188</v>
      </c>
      <c r="X9" s="4">
        <f>+'[1]Déficit P&amp;K feb16'!J7</f>
        <v>10728360.575612511</v>
      </c>
      <c r="Y9" s="4">
        <f>917400+8800200+545400-210000+38197527.12</f>
        <v>48250527.119999997</v>
      </c>
      <c r="Z9" s="4">
        <f t="shared" si="12"/>
        <v>-37522166.54438749</v>
      </c>
      <c r="AA9" s="4">
        <f>+'[1]Déficit P&amp;K feb16'!K7</f>
        <v>11264778.604393138</v>
      </c>
      <c r="AB9" s="4">
        <f>9000+204100+13180337.28+165100-12800</f>
        <v>13545737.279999999</v>
      </c>
      <c r="AC9" s="4">
        <f t="shared" si="5"/>
        <v>-2280958.6756068617</v>
      </c>
      <c r="AD9" s="4">
        <v>11828017.534612795</v>
      </c>
      <c r="AE9" s="40">
        <v>17609058.329999998</v>
      </c>
      <c r="AF9" s="4">
        <f t="shared" si="6"/>
        <v>-5781040.7953872029</v>
      </c>
      <c r="AG9" s="4">
        <f>+'[1]Déficit P&amp;K feb16'!M7</f>
        <v>12419418.411343435</v>
      </c>
      <c r="AH9" s="40">
        <f>+[3]flujo2022!$L$9</f>
        <v>19735200</v>
      </c>
      <c r="AI9" s="4">
        <f t="shared" si="7"/>
        <v>-7315781.5886565652</v>
      </c>
      <c r="AJ9" s="4">
        <f>+'[1]Déficit P&amp;K feb16'!N7</f>
        <v>13040389.331910606</v>
      </c>
      <c r="AK9" s="40">
        <v>20361219</v>
      </c>
      <c r="AL9" s="4">
        <f t="shared" si="8"/>
        <v>-7320829.6680893935</v>
      </c>
      <c r="AM9" s="4">
        <f>+C9+F9+I9+L9+O9+R9+U9+X9+AA9+AD9+AG9+AJ9</f>
        <v>108422207.91079147</v>
      </c>
      <c r="AN9" s="4">
        <f t="shared" si="13"/>
        <v>420950334.78999996</v>
      </c>
      <c r="AO9" s="4">
        <f t="shared" si="14"/>
        <v>-312528126.87920851</v>
      </c>
      <c r="AP9" s="21">
        <f t="shared" si="9"/>
        <v>-2.8825102615172069</v>
      </c>
      <c r="AQ9" s="38"/>
      <c r="AR9" s="39"/>
      <c r="AS9" s="39"/>
      <c r="AT9" s="39"/>
    </row>
    <row r="10" spans="1:46" x14ac:dyDescent="0.25">
      <c r="A10" s="5" t="s">
        <v>65</v>
      </c>
      <c r="B10" s="4">
        <v>50069660</v>
      </c>
      <c r="C10" s="4">
        <v>0</v>
      </c>
      <c r="D10" s="4">
        <v>0</v>
      </c>
      <c r="E10" s="4">
        <f t="shared" si="0"/>
        <v>0</v>
      </c>
      <c r="F10" s="4"/>
      <c r="G10" s="4"/>
      <c r="H10" s="4">
        <f t="shared" si="1"/>
        <v>0</v>
      </c>
      <c r="I10" s="4">
        <v>5006966</v>
      </c>
      <c r="J10" s="4">
        <v>0</v>
      </c>
      <c r="K10" s="4">
        <f t="shared" si="2"/>
        <v>5006966</v>
      </c>
      <c r="L10" s="4">
        <v>5006966</v>
      </c>
      <c r="M10" s="4">
        <v>0</v>
      </c>
      <c r="N10" s="4">
        <f t="shared" si="3"/>
        <v>5006966</v>
      </c>
      <c r="O10" s="4">
        <v>5006966</v>
      </c>
      <c r="P10" s="4">
        <v>0</v>
      </c>
      <c r="Q10" s="4">
        <f t="shared" si="4"/>
        <v>5006966</v>
      </c>
      <c r="R10" s="4">
        <v>5006966</v>
      </c>
      <c r="S10" s="4">
        <v>0</v>
      </c>
      <c r="T10" s="4">
        <f t="shared" si="10"/>
        <v>5006966</v>
      </c>
      <c r="U10" s="4">
        <v>5006966</v>
      </c>
      <c r="V10" s="4">
        <v>0</v>
      </c>
      <c r="W10" s="4">
        <f t="shared" si="11"/>
        <v>5006966</v>
      </c>
      <c r="X10" s="4">
        <f>+'[1]Déficit P&amp;K feb16'!J8</f>
        <v>5006966</v>
      </c>
      <c r="Y10" s="4">
        <f>3737900-2047210.47+164000-3120-4800</f>
        <v>1846769.53</v>
      </c>
      <c r="Z10" s="4">
        <f t="shared" si="12"/>
        <v>3160196.4699999997</v>
      </c>
      <c r="AA10" s="4">
        <f>+'[1]Déficit P&amp;K feb16'!K8</f>
        <v>5006966</v>
      </c>
      <c r="AB10" s="4">
        <v>0</v>
      </c>
      <c r="AC10" s="4">
        <f t="shared" si="5"/>
        <v>5006966</v>
      </c>
      <c r="AD10" s="4">
        <v>5006966</v>
      </c>
      <c r="AE10" s="4">
        <v>0</v>
      </c>
      <c r="AF10" s="4">
        <f t="shared" si="6"/>
        <v>5006966</v>
      </c>
      <c r="AG10" s="4">
        <f>+'[1]Déficit P&amp;K feb16'!M8</f>
        <v>5006966</v>
      </c>
      <c r="AH10" s="4">
        <v>0</v>
      </c>
      <c r="AI10" s="4">
        <f t="shared" si="7"/>
        <v>5006966</v>
      </c>
      <c r="AJ10" s="4">
        <f>+'[1]Déficit P&amp;K feb16'!N8</f>
        <v>5006966</v>
      </c>
      <c r="AK10" s="4">
        <v>0</v>
      </c>
      <c r="AL10" s="4">
        <f t="shared" si="8"/>
        <v>5006966</v>
      </c>
      <c r="AM10" s="4">
        <f>+C10+F10+I10+L10+O10+R10+U10+X10+AA10+AD10+AG10+AJ10</f>
        <v>50069660</v>
      </c>
      <c r="AN10" s="4">
        <f t="shared" si="13"/>
        <v>1846769.53</v>
      </c>
      <c r="AO10" s="4">
        <f t="shared" si="14"/>
        <v>48222890.469999999</v>
      </c>
      <c r="AP10" s="21">
        <f t="shared" si="9"/>
        <v>0.96311599619410238</v>
      </c>
      <c r="AQ10" s="38"/>
      <c r="AR10" s="39"/>
      <c r="AS10" s="39"/>
      <c r="AT10" s="39"/>
    </row>
    <row r="11" spans="1:46" x14ac:dyDescent="0.25">
      <c r="A11" s="5" t="s">
        <v>66</v>
      </c>
      <c r="B11" s="4">
        <v>158959318.729422</v>
      </c>
      <c r="C11" s="4">
        <v>0</v>
      </c>
      <c r="D11" s="4">
        <v>0</v>
      </c>
      <c r="E11" s="4">
        <f t="shared" si="0"/>
        <v>0</v>
      </c>
      <c r="F11" s="4"/>
      <c r="G11" s="4"/>
      <c r="H11" s="4">
        <f t="shared" si="1"/>
        <v>0</v>
      </c>
      <c r="I11" s="4">
        <v>14266666.498968435</v>
      </c>
      <c r="J11" s="4">
        <v>0</v>
      </c>
      <c r="K11" s="4">
        <f t="shared" si="2"/>
        <v>14266666.498968435</v>
      </c>
      <c r="L11" s="4">
        <v>14266666.498968435</v>
      </c>
      <c r="M11" s="4">
        <v>0</v>
      </c>
      <c r="N11" s="4">
        <f t="shared" si="3"/>
        <v>14266666.498968435</v>
      </c>
      <c r="O11" s="4">
        <v>14266666.498968435</v>
      </c>
      <c r="P11" s="4">
        <v>0</v>
      </c>
      <c r="Q11" s="4">
        <f t="shared" si="4"/>
        <v>14266666.498968435</v>
      </c>
      <c r="R11" s="4">
        <v>14266666.498968435</v>
      </c>
      <c r="S11" s="4">
        <v>0</v>
      </c>
      <c r="T11" s="4">
        <f t="shared" si="10"/>
        <v>14266666.498968435</v>
      </c>
      <c r="U11" s="4">
        <v>14979999.823916858</v>
      </c>
      <c r="V11" s="4">
        <v>0</v>
      </c>
      <c r="W11" s="4">
        <f t="shared" si="11"/>
        <v>14979999.823916858</v>
      </c>
      <c r="X11" s="4">
        <f>+'[1]Déficit P&amp;K feb16'!J9</f>
        <v>15728999.815112703</v>
      </c>
      <c r="Y11" s="4">
        <v>0</v>
      </c>
      <c r="Z11" s="4">
        <f t="shared" si="12"/>
        <v>15728999.815112703</v>
      </c>
      <c r="AA11" s="4">
        <f>+'[1]Déficit P&amp;K feb16'!K9</f>
        <v>16515449.805868339</v>
      </c>
      <c r="AB11" s="4">
        <v>0</v>
      </c>
      <c r="AC11" s="4">
        <f t="shared" si="5"/>
        <v>16515449.805868339</v>
      </c>
      <c r="AD11" s="4">
        <v>17341222.296161756</v>
      </c>
      <c r="AE11" s="4">
        <v>0</v>
      </c>
      <c r="AF11" s="4">
        <f t="shared" si="6"/>
        <v>17341222.296161756</v>
      </c>
      <c r="AG11" s="4">
        <f>+'[1]Déficit P&amp;K feb16'!M9</f>
        <v>18208283.410969846</v>
      </c>
      <c r="AH11" s="4">
        <v>0</v>
      </c>
      <c r="AI11" s="4">
        <f t="shared" si="7"/>
        <v>18208283.410969846</v>
      </c>
      <c r="AJ11" s="4">
        <f>+'[1]Déficit P&amp;K feb16'!N9</f>
        <v>19118697.581518341</v>
      </c>
      <c r="AK11" s="4">
        <v>0</v>
      </c>
      <c r="AL11" s="4">
        <f t="shared" si="8"/>
        <v>19118697.581518341</v>
      </c>
      <c r="AM11" s="4">
        <f>+C11+F11+I11+L11+O11+R11+U11+X11+AA11+AD11+AG11+AJ11</f>
        <v>158959318.72942162</v>
      </c>
      <c r="AN11" s="4">
        <f t="shared" si="13"/>
        <v>0</v>
      </c>
      <c r="AO11" s="4">
        <f t="shared" si="14"/>
        <v>158959318.72942162</v>
      </c>
      <c r="AP11" s="21">
        <f t="shared" si="9"/>
        <v>1</v>
      </c>
      <c r="AQ11" s="38"/>
      <c r="AR11" s="39"/>
      <c r="AS11" s="39"/>
      <c r="AT11" s="39"/>
    </row>
    <row r="12" spans="1:46" ht="18.75" x14ac:dyDescent="0.3">
      <c r="A12" s="11" t="s">
        <v>2</v>
      </c>
      <c r="B12" s="6">
        <f>SUM(B7:B11)</f>
        <v>447935614.47200549</v>
      </c>
      <c r="C12" s="6">
        <f t="shared" ref="C12:J12" si="15">SUM(C7:C11)</f>
        <v>0</v>
      </c>
      <c r="D12" s="6">
        <f t="shared" si="15"/>
        <v>0</v>
      </c>
      <c r="E12" s="6">
        <f t="shared" si="15"/>
        <v>0</v>
      </c>
      <c r="F12" s="6">
        <f t="shared" si="15"/>
        <v>0</v>
      </c>
      <c r="G12" s="6">
        <f t="shared" si="15"/>
        <v>0</v>
      </c>
      <c r="H12" s="6">
        <f t="shared" si="15"/>
        <v>0</v>
      </c>
      <c r="I12" s="6">
        <f t="shared" si="15"/>
        <v>40985740.045875333</v>
      </c>
      <c r="J12" s="6">
        <f t="shared" si="15"/>
        <v>0</v>
      </c>
      <c r="K12" s="6">
        <f t="shared" ref="K12" si="16">SUM(K7:K11)</f>
        <v>40985740.045875333</v>
      </c>
      <c r="L12" s="6">
        <f t="shared" ref="L12:AN12" si="17">SUM(L7:L11)</f>
        <v>40985740.045875333</v>
      </c>
      <c r="M12" s="6">
        <f t="shared" si="17"/>
        <v>0</v>
      </c>
      <c r="N12" s="6">
        <f t="shared" si="17"/>
        <v>40985740.045875333</v>
      </c>
      <c r="O12" s="6">
        <f t="shared" ref="O12:T12" si="18">SUM(O7:O11)</f>
        <v>40985740.045875333</v>
      </c>
      <c r="P12" s="6">
        <f t="shared" si="18"/>
        <v>1792637.48</v>
      </c>
      <c r="Q12" s="6">
        <f t="shared" si="18"/>
        <v>39193102.565875337</v>
      </c>
      <c r="R12" s="6">
        <f t="shared" si="18"/>
        <v>40985740.045875333</v>
      </c>
      <c r="S12" s="6">
        <f t="shared" si="18"/>
        <v>6717362.4900000002</v>
      </c>
      <c r="T12" s="6">
        <f t="shared" si="18"/>
        <v>34268377.555875331</v>
      </c>
      <c r="U12" s="6">
        <f t="shared" ref="U12:W12" si="19">SUM(U7:U11)</f>
        <v>42652899.947759382</v>
      </c>
      <c r="V12" s="6">
        <f t="shared" si="19"/>
        <v>297366193.06</v>
      </c>
      <c r="W12" s="6">
        <f t="shared" si="19"/>
        <v>-254713293.11224061</v>
      </c>
      <c r="X12" s="6">
        <f t="shared" ref="X12:AC12" si="20">SUM(X7:X11)</f>
        <v>44403417.844737627</v>
      </c>
      <c r="Y12" s="6">
        <f t="shared" si="20"/>
        <v>52152427.119999997</v>
      </c>
      <c r="Z12" s="6">
        <f t="shared" si="20"/>
        <v>-7749009.2752623782</v>
      </c>
      <c r="AA12" s="6">
        <f t="shared" si="20"/>
        <v>46241461.636564791</v>
      </c>
      <c r="AB12" s="6">
        <f t="shared" si="20"/>
        <v>13621731.029999999</v>
      </c>
      <c r="AC12" s="6">
        <f t="shared" si="20"/>
        <v>32619730.60656479</v>
      </c>
      <c r="AD12" s="6">
        <f t="shared" ref="AD12:AF12" si="21">SUM(AD7:AD11)</f>
        <v>48171407.617983304</v>
      </c>
      <c r="AE12" s="6">
        <f t="shared" si="21"/>
        <v>17609058.329999998</v>
      </c>
      <c r="AF12" s="6">
        <f t="shared" si="21"/>
        <v>30562349.287983306</v>
      </c>
      <c r="AG12" s="6">
        <f t="shared" ref="AG12:AI12" si="22">SUM(AG7:AG11)</f>
        <v>50197850.898472749</v>
      </c>
      <c r="AH12" s="6">
        <f t="shared" si="22"/>
        <v>19735200</v>
      </c>
      <c r="AI12" s="6">
        <f t="shared" si="22"/>
        <v>30462650.898472749</v>
      </c>
      <c r="AJ12" s="6">
        <f t="shared" ref="AJ12:AL12" si="23">SUM(AJ7:AJ11)</f>
        <v>52325616.342986673</v>
      </c>
      <c r="AK12" s="6">
        <f t="shared" si="23"/>
        <v>20361219</v>
      </c>
      <c r="AL12" s="6">
        <f t="shared" si="23"/>
        <v>31964397.342986669</v>
      </c>
      <c r="AM12" s="6">
        <f>SUM(AM7:AM11)</f>
        <v>447935614.47200584</v>
      </c>
      <c r="AN12" s="6">
        <f t="shared" si="17"/>
        <v>429355828.50999993</v>
      </c>
      <c r="AO12" s="6">
        <f>SUM(AO7:AO11)</f>
        <v>18579785.962005883</v>
      </c>
      <c r="AP12" s="23">
        <f t="shared" si="9"/>
        <v>4.1478697745224821E-2</v>
      </c>
      <c r="AQ12" s="38"/>
      <c r="AR12" s="39"/>
      <c r="AS12" s="39"/>
      <c r="AT12" s="39"/>
    </row>
    <row r="13" spans="1:46" x14ac:dyDescent="0.25">
      <c r="A13" s="5" t="s">
        <v>58</v>
      </c>
      <c r="B13" s="4">
        <f>+AM13</f>
        <v>895560103.80012751</v>
      </c>
      <c r="C13" s="4">
        <v>73690864.150010645</v>
      </c>
      <c r="D13" s="4">
        <v>64263414</v>
      </c>
      <c r="E13" s="4">
        <f>+C13-D13</f>
        <v>9427450.1500106454</v>
      </c>
      <c r="F13" s="4">
        <v>73690864.150010601</v>
      </c>
      <c r="G13" s="4">
        <v>61781492</v>
      </c>
      <c r="H13" s="4">
        <f>+F13-G13</f>
        <v>11909372.150010601</v>
      </c>
      <c r="I13" s="4">
        <v>73690864.150010645</v>
      </c>
      <c r="J13" s="4">
        <v>66073998</v>
      </c>
      <c r="K13" s="4">
        <f>+I13-J13</f>
        <v>7616866.1500106454</v>
      </c>
      <c r="L13" s="4">
        <f>+'[1]Déficit P&amp;K feb16'!E11</f>
        <v>73690864.150010645</v>
      </c>
      <c r="M13" s="4">
        <f>+[4]Resultados202204!$F$12</f>
        <v>70789187</v>
      </c>
      <c r="N13" s="4">
        <f>+L13-M13</f>
        <v>2901677.1500106454</v>
      </c>
      <c r="O13" s="4">
        <f>+'[1]Déficit P&amp;K feb16'!G11</f>
        <v>73690864.150010645</v>
      </c>
      <c r="P13" s="4">
        <f>+[5]Resultados202205!$G$12</f>
        <v>70502084</v>
      </c>
      <c r="Q13" s="4">
        <f>+O13-P13</f>
        <v>3188780.1500106454</v>
      </c>
      <c r="R13" s="4">
        <v>73690864.150010645</v>
      </c>
      <c r="S13" s="4">
        <f>+[6]Resultados202205!$H$12</f>
        <v>71927320.75</v>
      </c>
      <c r="T13" s="4">
        <f t="shared" ref="T13:T18" si="24">+R13-S13</f>
        <v>1763543.4000106454</v>
      </c>
      <c r="U13" s="4">
        <f>+'[1]Déficit P&amp;K feb16'!I11</f>
        <v>75569153.150010645</v>
      </c>
      <c r="V13" s="4">
        <f>+[7]Resultados202207!$I$12+1876391</f>
        <v>69486087.789999992</v>
      </c>
      <c r="W13" s="4">
        <f t="shared" ref="W13:W18" si="25">+U13-V13</f>
        <v>6083065.3600106537</v>
      </c>
      <c r="X13" s="4">
        <f>+'[1]Déficit P&amp;K feb16'!J11</f>
        <v>75569153.150010645</v>
      </c>
      <c r="Y13" s="4">
        <f>+[8]Resultados202208!$J$12+2750000</f>
        <v>72003041</v>
      </c>
      <c r="Z13" s="4">
        <f t="shared" ref="Z13:Z18" si="26">+X13-Y13</f>
        <v>3566112.1500106454</v>
      </c>
      <c r="AA13" s="4">
        <f>+'[1]Déficit P&amp;K feb16'!K11</f>
        <v>75569153.150010645</v>
      </c>
      <c r="AB13" s="4">
        <f>+[9]Resultados202209!$K$12</f>
        <v>63609348.439999998</v>
      </c>
      <c r="AC13" s="4">
        <f t="shared" si="5"/>
        <v>11959804.710010648</v>
      </c>
      <c r="AD13" s="4">
        <v>75569153.150010645</v>
      </c>
      <c r="AE13" s="4">
        <f>+[10]Resultados202210!$L$12+3296033</f>
        <v>67537958.99000001</v>
      </c>
      <c r="AF13" s="4">
        <f t="shared" ref="AF13:AF18" si="27">+AD13-AE13</f>
        <v>8031194.1600106359</v>
      </c>
      <c r="AG13" s="4">
        <f>+'[1]Déficit P&amp;K feb16'!M11</f>
        <v>75569153.150010645</v>
      </c>
      <c r="AH13" s="4">
        <f>+[11]Resultados202211!$M$12</f>
        <v>71435789.409999996</v>
      </c>
      <c r="AI13" s="4">
        <f t="shared" ref="AI13:AI18" si="28">+AG13-AH13</f>
        <v>4133363.740010649</v>
      </c>
      <c r="AJ13" s="4">
        <f>+'[1]Déficit P&amp;K feb16'!N11</f>
        <v>75569153.150010645</v>
      </c>
      <c r="AK13" s="4">
        <f>+[12]Resultados202211!$N$12+366800+2571500</f>
        <v>77896426.920000002</v>
      </c>
      <c r="AL13" s="4">
        <f t="shared" ref="AL13:AL18" si="29">+AJ13-AK13</f>
        <v>-2327273.7699893564</v>
      </c>
      <c r="AM13" s="4">
        <f t="shared" ref="AM13:AM18" si="30">+C13+F13+I13+L13+O13+R13+U13+X13+AA13+AD13+AG13+AJ13</f>
        <v>895560103.80012751</v>
      </c>
      <c r="AN13" s="4">
        <f t="shared" si="13"/>
        <v>827306148.29999995</v>
      </c>
      <c r="AO13" s="4">
        <f t="shared" si="14"/>
        <v>68253955.500127554</v>
      </c>
      <c r="AP13" s="21">
        <f t="shared" si="9"/>
        <v>7.6213707165499842E-2</v>
      </c>
      <c r="AQ13" s="38"/>
      <c r="AR13" s="39"/>
      <c r="AS13" s="39"/>
      <c r="AT13" s="39"/>
    </row>
    <row r="14" spans="1:46" x14ac:dyDescent="0.25">
      <c r="A14" s="5" t="s">
        <v>8</v>
      </c>
      <c r="B14" s="4">
        <f t="shared" ref="B14:B18" si="31">+AM14</f>
        <v>2161318349</v>
      </c>
      <c r="C14" s="4">
        <f>414028334-261615000</f>
        <v>152413334</v>
      </c>
      <c r="D14" s="4">
        <v>50637648</v>
      </c>
      <c r="E14" s="4">
        <f t="shared" ref="E14:E18" si="32">+C14-D14</f>
        <v>101775686</v>
      </c>
      <c r="F14" s="4">
        <v>618200839.39999998</v>
      </c>
      <c r="G14" s="4">
        <v>13749654</v>
      </c>
      <c r="H14" s="4">
        <f t="shared" ref="H14:H18" si="33">+F14-G14</f>
        <v>604451185.39999998</v>
      </c>
      <c r="I14" s="4">
        <f>389373332-174410000</f>
        <v>214963332</v>
      </c>
      <c r="J14" s="4">
        <v>64526141</v>
      </c>
      <c r="K14" s="4">
        <f t="shared" ref="K14:K18" si="34">+I14-J14</f>
        <v>150437191</v>
      </c>
      <c r="L14" s="4">
        <f>+'[1]Déficit P&amp;K feb16'!F12</f>
        <v>166039404.5</v>
      </c>
      <c r="M14" s="4">
        <f>5840047+46484+3652840+46400000+3375512</f>
        <v>59314883</v>
      </c>
      <c r="N14" s="4">
        <f t="shared" ref="N14:N18" si="35">+L14-M14</f>
        <v>106724521.5</v>
      </c>
      <c r="O14" s="4">
        <f>+'[1]Déficit P&amp;K feb16'!G12</f>
        <v>19630000</v>
      </c>
      <c r="P14" s="4">
        <f>2789000+10982205+3920130</f>
        <v>17691335</v>
      </c>
      <c r="Q14" s="4">
        <f t="shared" ref="Q14:Q18" si="36">+O14-P14</f>
        <v>1938665</v>
      </c>
      <c r="R14" s="4">
        <f>+'[1]Déficit P&amp;K feb16'!$H$12</f>
        <v>70893761.800000012</v>
      </c>
      <c r="S14" s="4">
        <f>170000+4743470+48000000</f>
        <v>52913470</v>
      </c>
      <c r="T14" s="4">
        <f t="shared" si="24"/>
        <v>17980291.800000012</v>
      </c>
      <c r="U14" s="4">
        <f>+'[1]Déficit P&amp;K feb16'!I12</f>
        <v>16330000</v>
      </c>
      <c r="V14" s="4">
        <v>4648245</v>
      </c>
      <c r="W14" s="4">
        <f t="shared" si="25"/>
        <v>11681755</v>
      </c>
      <c r="X14" s="4">
        <f>+'[1]Déficit P&amp;K feb16'!J12</f>
        <v>485585815.60000002</v>
      </c>
      <c r="Y14" s="4">
        <f>19454253+29214+47900+4400000+3500000+2500000</f>
        <v>29931367</v>
      </c>
      <c r="Z14" s="4">
        <f t="shared" si="26"/>
        <v>455654448.60000002</v>
      </c>
      <c r="AA14" s="4">
        <f>+'[1]Déficit P&amp;K feb16'!K12</f>
        <v>250957907.80000001</v>
      </c>
      <c r="AB14" s="4">
        <f>190000+4123359+29214</f>
        <v>4342573</v>
      </c>
      <c r="AC14" s="4">
        <f t="shared" si="5"/>
        <v>246615334.80000001</v>
      </c>
      <c r="AD14" s="4">
        <v>16330000</v>
      </c>
      <c r="AE14" s="4">
        <f>2631398.08+140000+4207785+29214+62300+6384904.48</f>
        <v>13455601.560000001</v>
      </c>
      <c r="AF14" s="4">
        <f t="shared" si="27"/>
        <v>2874398.4399999995</v>
      </c>
      <c r="AG14" s="4">
        <f>+'[1]Déficit P&amp;K feb16'!M12</f>
        <v>133643953.90000001</v>
      </c>
      <c r="AH14" s="4">
        <f>6356271+29214+62300+355791788.72</f>
        <v>362239573.72000003</v>
      </c>
      <c r="AI14" s="4">
        <f t="shared" si="28"/>
        <v>-228595619.82000002</v>
      </c>
      <c r="AJ14" s="4">
        <f>+'[1]Déficit P&amp;K feb16'!N12</f>
        <v>16330000</v>
      </c>
      <c r="AK14" s="4">
        <f>3773304+5897189+6603293+31735+64300+14000000+2945200+112349186.15+839021058.45+230854324</f>
        <v>1215539589.5999999</v>
      </c>
      <c r="AL14" s="4">
        <f t="shared" si="29"/>
        <v>-1199209589.5999999</v>
      </c>
      <c r="AM14" s="4">
        <f t="shared" si="30"/>
        <v>2161318349</v>
      </c>
      <c r="AN14" s="4">
        <f t="shared" si="13"/>
        <v>1888990080.8799999</v>
      </c>
      <c r="AO14" s="4">
        <f t="shared" si="14"/>
        <v>272328268.12000012</v>
      </c>
      <c r="AP14" s="21">
        <f t="shared" si="9"/>
        <v>0.12600099760685468</v>
      </c>
      <c r="AQ14" s="38"/>
      <c r="AR14" s="39"/>
      <c r="AS14" s="39"/>
      <c r="AT14" s="39"/>
    </row>
    <row r="15" spans="1:46" x14ac:dyDescent="0.25">
      <c r="A15" s="5" t="s">
        <v>7</v>
      </c>
      <c r="B15" s="4">
        <f t="shared" si="31"/>
        <v>868371996</v>
      </c>
      <c r="C15" s="4">
        <v>95373333</v>
      </c>
      <c r="D15" s="4">
        <v>98443717</v>
      </c>
      <c r="E15" s="4">
        <f t="shared" si="32"/>
        <v>-3070384</v>
      </c>
      <c r="F15" s="4">
        <f>92373333+237400000-234400000</f>
        <v>95373333</v>
      </c>
      <c r="G15" s="4">
        <v>80542260</v>
      </c>
      <c r="H15" s="4">
        <f t="shared" si="33"/>
        <v>14831073</v>
      </c>
      <c r="I15" s="4">
        <f>77973333+418000000-415000000</f>
        <v>80973333</v>
      </c>
      <c r="J15" s="4">
        <v>98597316</v>
      </c>
      <c r="K15" s="4">
        <f t="shared" si="34"/>
        <v>-17623983</v>
      </c>
      <c r="L15" s="4">
        <f>490373333-415000000</f>
        <v>75373333</v>
      </c>
      <c r="M15" s="4">
        <f>13650035+122097+100204420+2720000+836898</f>
        <v>117533450</v>
      </c>
      <c r="N15" s="4">
        <f t="shared" si="35"/>
        <v>-42160117</v>
      </c>
      <c r="O15" s="4">
        <f>487873333-415000000</f>
        <v>72873333</v>
      </c>
      <c r="P15" s="4">
        <f>4050000+122097+86544634</f>
        <v>90716731</v>
      </c>
      <c r="Q15" s="4">
        <f t="shared" si="36"/>
        <v>-17843398</v>
      </c>
      <c r="R15" s="4">
        <f>61629333+418000000-415000000</f>
        <v>64629333</v>
      </c>
      <c r="S15" s="4">
        <f>3231200+122097+69240567</f>
        <v>72593864</v>
      </c>
      <c r="T15" s="4">
        <f t="shared" si="24"/>
        <v>-7964531</v>
      </c>
      <c r="U15" s="4">
        <f>478629333-415000000</f>
        <v>63629333</v>
      </c>
      <c r="V15" s="4">
        <f>11732200+13026179+15604229</f>
        <v>40362608</v>
      </c>
      <c r="W15" s="4">
        <f t="shared" si="25"/>
        <v>23266725</v>
      </c>
      <c r="X15" s="4">
        <f>478629333-415000000</f>
        <v>63629333</v>
      </c>
      <c r="Y15" s="4">
        <f>122097+27702204+18128672+27034630+320000+26805476+29130800+70206178</f>
        <v>199450057</v>
      </c>
      <c r="Z15" s="4">
        <f t="shared" si="26"/>
        <v>-135820724</v>
      </c>
      <c r="AA15" s="4">
        <f>479629333-415000000</f>
        <v>64629333</v>
      </c>
      <c r="AB15" s="4">
        <f>654000+3494920+122097+2615080+28345725.75+1785000+130000</f>
        <v>37146822.75</v>
      </c>
      <c r="AC15" s="4">
        <f t="shared" si="5"/>
        <v>27482510.25</v>
      </c>
      <c r="AD15" s="4">
        <f>63629333+415000000-415000000</f>
        <v>63629333</v>
      </c>
      <c r="AE15" s="4">
        <f>3494920+122097+2615080+23309263.64+942294+14904000+12150000+145000000+1785000+558000+25200000</f>
        <v>230080654.63999999</v>
      </c>
      <c r="AF15" s="4">
        <f t="shared" si="27"/>
        <v>-166451321.63999999</v>
      </c>
      <c r="AG15" s="4">
        <f>+'[1]Déficit P&amp;K feb16'!M13</f>
        <v>63629333</v>
      </c>
      <c r="AH15" s="4">
        <f>122097+10793025.25+34399100+15126450.5+460000</f>
        <v>60900672.75</v>
      </c>
      <c r="AI15" s="4">
        <f t="shared" si="28"/>
        <v>2728660.25</v>
      </c>
      <c r="AJ15" s="4">
        <f>+'[1]Déficit P&amp;K feb16'!N13</f>
        <v>64629333</v>
      </c>
      <c r="AK15" s="4">
        <f>131341+14958425.25+1+10033593</f>
        <v>25123360.25</v>
      </c>
      <c r="AL15" s="4">
        <f t="shared" si="29"/>
        <v>39505972.75</v>
      </c>
      <c r="AM15" s="4">
        <f t="shared" si="30"/>
        <v>868371996</v>
      </c>
      <c r="AN15" s="4">
        <f t="shared" si="13"/>
        <v>1151491513.3899999</v>
      </c>
      <c r="AO15" s="4">
        <f t="shared" si="14"/>
        <v>-283119517.38999987</v>
      </c>
      <c r="AP15" s="21">
        <f t="shared" si="9"/>
        <v>-0.32603483149403617</v>
      </c>
      <c r="AQ15" s="38"/>
      <c r="AR15" s="39"/>
      <c r="AS15" s="39"/>
      <c r="AT15" s="39"/>
    </row>
    <row r="16" spans="1:46" x14ac:dyDescent="0.25">
      <c r="A16" s="5" t="s">
        <v>9</v>
      </c>
      <c r="B16" s="4">
        <f t="shared" si="31"/>
        <v>200000000</v>
      </c>
      <c r="C16" s="4">
        <v>100000000</v>
      </c>
      <c r="D16" s="4">
        <v>0</v>
      </c>
      <c r="E16" s="4">
        <f t="shared" si="32"/>
        <v>100000000</v>
      </c>
      <c r="F16" s="4">
        <v>100000000</v>
      </c>
      <c r="G16" s="4">
        <v>0</v>
      </c>
      <c r="H16" s="4">
        <f t="shared" si="33"/>
        <v>100000000</v>
      </c>
      <c r="I16" s="4">
        <v>0</v>
      </c>
      <c r="J16" s="4"/>
      <c r="K16" s="4">
        <f t="shared" si="34"/>
        <v>0</v>
      </c>
      <c r="L16" s="4">
        <f>+'[1]Déficit P&amp;K feb16'!F14</f>
        <v>0</v>
      </c>
      <c r="M16" s="4">
        <v>66887465</v>
      </c>
      <c r="N16" s="4">
        <f t="shared" si="35"/>
        <v>-66887465</v>
      </c>
      <c r="O16" s="4">
        <f>+'[1]Déficit P&amp;K feb16'!G14</f>
        <v>0</v>
      </c>
      <c r="P16" s="4">
        <v>8820945</v>
      </c>
      <c r="Q16" s="4">
        <f t="shared" si="36"/>
        <v>-8820945</v>
      </c>
      <c r="R16" s="4">
        <v>0</v>
      </c>
      <c r="S16" s="4">
        <v>0</v>
      </c>
      <c r="T16" s="4">
        <f t="shared" si="24"/>
        <v>0</v>
      </c>
      <c r="U16" s="4">
        <f>+'[1]Déficit P&amp;K feb16'!I14</f>
        <v>0</v>
      </c>
      <c r="V16" s="4">
        <v>0</v>
      </c>
      <c r="W16" s="4">
        <f t="shared" si="25"/>
        <v>0</v>
      </c>
      <c r="X16" s="4">
        <f>+'[1]Déficit P&amp;K feb16'!J14</f>
        <v>0</v>
      </c>
      <c r="Y16" s="4">
        <v>0</v>
      </c>
      <c r="Z16" s="4">
        <f t="shared" si="26"/>
        <v>0</v>
      </c>
      <c r="AA16" s="4">
        <f>+'[1]Déficit P&amp;K feb16'!K14</f>
        <v>0</v>
      </c>
      <c r="AB16" s="4"/>
      <c r="AC16" s="4">
        <f t="shared" si="5"/>
        <v>0</v>
      </c>
      <c r="AD16" s="4">
        <v>0</v>
      </c>
      <c r="AE16" s="4">
        <v>0</v>
      </c>
      <c r="AF16" s="4">
        <f t="shared" si="27"/>
        <v>0</v>
      </c>
      <c r="AG16" s="4">
        <f>+'[1]Déficit P&amp;K feb16'!M14</f>
        <v>0</v>
      </c>
      <c r="AH16" s="4">
        <v>0</v>
      </c>
      <c r="AI16" s="4">
        <f t="shared" si="28"/>
        <v>0</v>
      </c>
      <c r="AJ16" s="4">
        <f>+'[1]Déficit P&amp;K feb16'!N14</f>
        <v>0</v>
      </c>
      <c r="AK16" s="4"/>
      <c r="AL16" s="4">
        <f t="shared" si="29"/>
        <v>0</v>
      </c>
      <c r="AM16" s="4">
        <f t="shared" si="30"/>
        <v>200000000</v>
      </c>
      <c r="AN16" s="4">
        <f t="shared" si="13"/>
        <v>75708410</v>
      </c>
      <c r="AO16" s="4">
        <f t="shared" si="14"/>
        <v>124291590</v>
      </c>
      <c r="AP16" s="21">
        <f t="shared" si="9"/>
        <v>0.62145795000000004</v>
      </c>
      <c r="AQ16" s="38"/>
      <c r="AR16" s="39"/>
      <c r="AS16" s="39"/>
      <c r="AT16" s="39"/>
    </row>
    <row r="17" spans="1:46" x14ac:dyDescent="0.25">
      <c r="A17" s="5" t="s">
        <v>10</v>
      </c>
      <c r="B17" s="4">
        <f t="shared" si="31"/>
        <v>421199999.60000002</v>
      </c>
      <c r="C17" s="4">
        <v>0</v>
      </c>
      <c r="D17" s="4">
        <v>0</v>
      </c>
      <c r="E17" s="4">
        <f t="shared" si="32"/>
        <v>0</v>
      </c>
      <c r="F17" s="4">
        <v>34399999.800000012</v>
      </c>
      <c r="G17" s="4">
        <v>0</v>
      </c>
      <c r="H17" s="4">
        <f t="shared" si="33"/>
        <v>34399999.800000012</v>
      </c>
      <c r="I17" s="4">
        <v>34399999.800000012</v>
      </c>
      <c r="J17" s="4"/>
      <c r="K17" s="4">
        <f t="shared" si="34"/>
        <v>34399999.800000012</v>
      </c>
      <c r="L17" s="4">
        <f>+'[1]Déficit P&amp;K feb16'!F15</f>
        <v>34400000</v>
      </c>
      <c r="M17" s="4"/>
      <c r="N17" s="4">
        <f t="shared" si="35"/>
        <v>34400000</v>
      </c>
      <c r="O17" s="4">
        <f>+'[1]Déficit P&amp;K feb16'!G15</f>
        <v>0</v>
      </c>
      <c r="P17" s="4"/>
      <c r="Q17" s="4">
        <f t="shared" si="36"/>
        <v>0</v>
      </c>
      <c r="R17" s="4">
        <v>159000000</v>
      </c>
      <c r="S17" s="4">
        <v>0</v>
      </c>
      <c r="T17" s="4">
        <f t="shared" si="24"/>
        <v>159000000</v>
      </c>
      <c r="U17" s="4">
        <f>+'[1]Déficit P&amp;K feb16'!I15</f>
        <v>0</v>
      </c>
      <c r="V17" s="4">
        <v>145000000</v>
      </c>
      <c r="W17" s="4">
        <f t="shared" si="25"/>
        <v>-145000000</v>
      </c>
      <c r="X17" s="4">
        <f>+'[1]Déficit P&amp;K feb16'!J15</f>
        <v>159000000</v>
      </c>
      <c r="Y17" s="4">
        <v>0</v>
      </c>
      <c r="Z17" s="4">
        <f t="shared" si="26"/>
        <v>159000000</v>
      </c>
      <c r="AA17" s="4">
        <f>+'[1]Déficit P&amp;K feb16'!K15</f>
        <v>0</v>
      </c>
      <c r="AB17" s="4"/>
      <c r="AC17" s="4">
        <f t="shared" si="5"/>
        <v>0</v>
      </c>
      <c r="AD17" s="4">
        <v>0</v>
      </c>
      <c r="AE17" s="4">
        <v>0</v>
      </c>
      <c r="AF17" s="4">
        <f t="shared" si="27"/>
        <v>0</v>
      </c>
      <c r="AG17" s="4">
        <f>+'[1]Déficit P&amp;K feb16'!M15</f>
        <v>0</v>
      </c>
      <c r="AH17" s="4">
        <v>0</v>
      </c>
      <c r="AI17" s="4">
        <f t="shared" si="28"/>
        <v>0</v>
      </c>
      <c r="AJ17" s="4">
        <f>+'[1]Déficit P&amp;K feb16'!N15</f>
        <v>0</v>
      </c>
      <c r="AK17" s="4"/>
      <c r="AL17" s="4">
        <f t="shared" si="29"/>
        <v>0</v>
      </c>
      <c r="AM17" s="4">
        <f t="shared" si="30"/>
        <v>421199999.60000002</v>
      </c>
      <c r="AN17" s="4">
        <f t="shared" si="13"/>
        <v>145000000</v>
      </c>
      <c r="AO17" s="4">
        <f t="shared" si="14"/>
        <v>276199999.60000002</v>
      </c>
      <c r="AP17" s="21">
        <f t="shared" si="9"/>
        <v>0.65574548875189509</v>
      </c>
      <c r="AQ17" s="38"/>
      <c r="AR17" s="39"/>
      <c r="AS17" s="39"/>
      <c r="AT17" s="39"/>
    </row>
    <row r="18" spans="1:46" x14ac:dyDescent="0.25">
      <c r="A18" s="5" t="s">
        <v>11</v>
      </c>
      <c r="B18" s="4">
        <f t="shared" si="31"/>
        <v>24000000</v>
      </c>
      <c r="C18" s="4">
        <v>4000000</v>
      </c>
      <c r="D18" s="4">
        <v>3360759</v>
      </c>
      <c r="E18" s="4">
        <f t="shared" si="32"/>
        <v>639241</v>
      </c>
      <c r="F18" s="4">
        <v>4000000</v>
      </c>
      <c r="G18" s="4">
        <v>190000</v>
      </c>
      <c r="H18" s="4">
        <f t="shared" si="33"/>
        <v>3810000</v>
      </c>
      <c r="I18" s="4">
        <v>4000000</v>
      </c>
      <c r="J18" s="4">
        <v>8752631</v>
      </c>
      <c r="K18" s="4">
        <f t="shared" si="34"/>
        <v>-4752631</v>
      </c>
      <c r="L18" s="4">
        <f>+'[1]Déficit P&amp;K feb16'!F16</f>
        <v>4000000</v>
      </c>
      <c r="M18" s="4">
        <f>472500+1168532+660129+5450000</f>
        <v>7751161</v>
      </c>
      <c r="N18" s="4">
        <f t="shared" si="35"/>
        <v>-3751161</v>
      </c>
      <c r="O18" s="4">
        <f>+'[1]Déficit P&amp;K feb16'!G16</f>
        <v>0</v>
      </c>
      <c r="P18" s="4">
        <f>214858+17698796+8786000+705425+5450000</f>
        <v>32855079</v>
      </c>
      <c r="Q18" s="4">
        <f t="shared" si="36"/>
        <v>-32855079</v>
      </c>
      <c r="R18" s="4">
        <v>0</v>
      </c>
      <c r="S18" s="4">
        <f>558000+669416+5450000+2794705</f>
        <v>9472121</v>
      </c>
      <c r="T18" s="4">
        <f t="shared" si="24"/>
        <v>-9472121</v>
      </c>
      <c r="U18" s="4">
        <f>+'[1]Déficit P&amp;K feb16'!I16</f>
        <v>0</v>
      </c>
      <c r="V18" s="4">
        <v>11562638</v>
      </c>
      <c r="W18" s="4">
        <f t="shared" si="25"/>
        <v>-11562638</v>
      </c>
      <c r="X18" s="4">
        <f>+'[1]Déficit P&amp;K feb16'!J16</f>
        <v>0</v>
      </c>
      <c r="Y18" s="4">
        <f>2158000+1359357+820000+279500+71900+5450000</f>
        <v>10138757</v>
      </c>
      <c r="Z18" s="4">
        <f t="shared" si="26"/>
        <v>-10138757</v>
      </c>
      <c r="AA18" s="4">
        <f>+'[1]Déficit P&amp;K feb16'!K16</f>
        <v>0</v>
      </c>
      <c r="AB18" s="4">
        <f>596907+293631+279500+5450000+3379100+445000</f>
        <v>10444138</v>
      </c>
      <c r="AC18" s="4">
        <f t="shared" si="5"/>
        <v>-10444138</v>
      </c>
      <c r="AD18" s="4">
        <v>0</v>
      </c>
      <c r="AE18" s="4">
        <f>586000+302790+279500+71900+5450000+4875900+369600</f>
        <v>11935690</v>
      </c>
      <c r="AF18" s="4">
        <f t="shared" si="27"/>
        <v>-11935690</v>
      </c>
      <c r="AG18" s="4">
        <f>+'[1]Déficit P&amp;K feb16'!M16</f>
        <v>8000000</v>
      </c>
      <c r="AH18" s="4">
        <f>223625+260777+197730+71900+5720000+190372</f>
        <v>6664404</v>
      </c>
      <c r="AI18" s="4">
        <f t="shared" si="28"/>
        <v>1335596</v>
      </c>
      <c r="AJ18" s="4">
        <f>+'[1]Déficit P&amp;K feb16'!N16</f>
        <v>0</v>
      </c>
      <c r="AK18" s="4">
        <f>503000+882000+573653+250769+201932+74200+8540000+6433224+2036800</f>
        <v>19495578</v>
      </c>
      <c r="AL18" s="4">
        <f t="shared" si="29"/>
        <v>-19495578</v>
      </c>
      <c r="AM18" s="4">
        <f t="shared" si="30"/>
        <v>24000000</v>
      </c>
      <c r="AN18" s="4">
        <f t="shared" si="13"/>
        <v>132622956</v>
      </c>
      <c r="AO18" s="4">
        <f t="shared" si="14"/>
        <v>-108622956</v>
      </c>
      <c r="AP18" s="21">
        <f t="shared" si="9"/>
        <v>-4.5259565000000004</v>
      </c>
      <c r="AQ18" s="38"/>
      <c r="AR18" s="39"/>
      <c r="AS18" s="39"/>
      <c r="AT18" s="39"/>
    </row>
    <row r="19" spans="1:46" ht="15" hidden="1" customHeight="1" x14ac:dyDescent="0.25">
      <c r="A19" s="12" t="s">
        <v>62</v>
      </c>
      <c r="B19" s="10"/>
      <c r="C19" s="10">
        <v>0</v>
      </c>
      <c r="D19" s="10"/>
      <c r="E19" s="10"/>
      <c r="F19" s="10">
        <v>0</v>
      </c>
      <c r="G19" s="10"/>
      <c r="H19" s="10"/>
      <c r="I19" s="10">
        <v>0</v>
      </c>
      <c r="J19" s="10"/>
      <c r="K19" s="10"/>
      <c r="L19" s="10">
        <v>0</v>
      </c>
      <c r="M19" s="10"/>
      <c r="N19" s="10"/>
      <c r="O19" s="10">
        <v>0</v>
      </c>
      <c r="P19" s="10"/>
      <c r="Q19" s="10"/>
      <c r="R19" s="10">
        <v>0</v>
      </c>
      <c r="S19" s="10"/>
      <c r="T19" s="10"/>
      <c r="U19" s="10">
        <v>0</v>
      </c>
      <c r="V19" s="10"/>
      <c r="W19" s="10"/>
      <c r="X19" s="10">
        <v>0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22"/>
      <c r="AQ19" s="38"/>
      <c r="AR19" s="39"/>
      <c r="AS19" s="39"/>
      <c r="AT19" s="39"/>
    </row>
    <row r="20" spans="1:46" x14ac:dyDescent="0.25">
      <c r="A20" s="13" t="s">
        <v>12</v>
      </c>
      <c r="B20" s="7">
        <f t="shared" ref="B20:H20" si="37">SUM(B13:B19)</f>
        <v>4570450448.4001274</v>
      </c>
      <c r="C20" s="7">
        <f t="shared" si="37"/>
        <v>425477531.15001065</v>
      </c>
      <c r="D20" s="7">
        <f t="shared" si="37"/>
        <v>216705538</v>
      </c>
      <c r="E20" s="7">
        <f t="shared" si="37"/>
        <v>208771993.15001065</v>
      </c>
      <c r="F20" s="7">
        <f t="shared" si="37"/>
        <v>925665036.35001063</v>
      </c>
      <c r="G20" s="7">
        <f t="shared" si="37"/>
        <v>156263406</v>
      </c>
      <c r="H20" s="7">
        <f t="shared" si="37"/>
        <v>769401630.35001063</v>
      </c>
      <c r="I20" s="7">
        <f t="shared" ref="I20:J20" si="38">SUM(I13:I19)</f>
        <v>408027528.95001066</v>
      </c>
      <c r="J20" s="7">
        <f t="shared" si="38"/>
        <v>237950086</v>
      </c>
      <c r="K20" s="7">
        <f>SUM(K13:K19)</f>
        <v>170077442.95001066</v>
      </c>
      <c r="L20" s="7">
        <f t="shared" ref="L20:M20" si="39">SUM(L13:L19)</f>
        <v>353503601.65001065</v>
      </c>
      <c r="M20" s="7">
        <f t="shared" si="39"/>
        <v>322276146</v>
      </c>
      <c r="N20" s="7">
        <f>SUM(N13:N19)</f>
        <v>31227455.650010645</v>
      </c>
      <c r="O20" s="7">
        <f t="shared" ref="O20:P20" si="40">SUM(O13:O19)</f>
        <v>166194197.15001065</v>
      </c>
      <c r="P20" s="7">
        <f t="shared" si="40"/>
        <v>220586174</v>
      </c>
      <c r="Q20" s="7">
        <f>SUM(Q13:Q19)</f>
        <v>-54391976.849989355</v>
      </c>
      <c r="R20" s="7">
        <f t="shared" ref="R20:T20" si="41">SUM(R13:R19)</f>
        <v>368213958.95001066</v>
      </c>
      <c r="S20" s="7">
        <f t="shared" si="41"/>
        <v>206906775.75</v>
      </c>
      <c r="T20" s="7">
        <f t="shared" si="41"/>
        <v>161307183.20001066</v>
      </c>
      <c r="U20" s="7">
        <f t="shared" ref="U20:W20" si="42">SUM(U13:U19)</f>
        <v>155528486.15001065</v>
      </c>
      <c r="V20" s="7">
        <f t="shared" si="42"/>
        <v>271059578.78999996</v>
      </c>
      <c r="W20" s="7">
        <f t="shared" si="42"/>
        <v>-115531092.63998935</v>
      </c>
      <c r="X20" s="7">
        <f t="shared" ref="X20:AC20" si="43">SUM(X13:X19)</f>
        <v>783784301.75001073</v>
      </c>
      <c r="Y20" s="7">
        <f t="shared" si="43"/>
        <v>311523222</v>
      </c>
      <c r="Z20" s="7">
        <f t="shared" si="43"/>
        <v>472261079.75001067</v>
      </c>
      <c r="AA20" s="7">
        <f t="shared" si="43"/>
        <v>391156393.95001066</v>
      </c>
      <c r="AB20" s="7">
        <f t="shared" si="43"/>
        <v>115542882.19</v>
      </c>
      <c r="AC20" s="7">
        <f t="shared" si="43"/>
        <v>275613511.76001066</v>
      </c>
      <c r="AD20" s="7">
        <f t="shared" ref="AD20:AF20" si="44">SUM(AD13:AD19)</f>
        <v>155528486.15001065</v>
      </c>
      <c r="AE20" s="7">
        <f t="shared" si="44"/>
        <v>323009905.19</v>
      </c>
      <c r="AF20" s="7">
        <f t="shared" si="44"/>
        <v>-167481419.03998935</v>
      </c>
      <c r="AG20" s="7">
        <f t="shared" ref="AG20:AI20" si="45">SUM(AG13:AG19)</f>
        <v>280842440.05001068</v>
      </c>
      <c r="AH20" s="7">
        <f t="shared" si="45"/>
        <v>501240439.88</v>
      </c>
      <c r="AI20" s="7">
        <f t="shared" si="45"/>
        <v>-220397999.82998937</v>
      </c>
      <c r="AJ20" s="7">
        <f t="shared" ref="AJ20:AL20" si="46">SUM(AJ13:AJ19)</f>
        <v>156528486.15001065</v>
      </c>
      <c r="AK20" s="7">
        <f t="shared" si="46"/>
        <v>1338054954.77</v>
      </c>
      <c r="AL20" s="7">
        <f t="shared" si="46"/>
        <v>-1181526468.6199892</v>
      </c>
      <c r="AM20" s="7">
        <f>SUM(AM13:AM19)</f>
        <v>4570450448.4001274</v>
      </c>
      <c r="AN20" s="7">
        <f>SUM(AN13:AN19)</f>
        <v>4221119108.5699997</v>
      </c>
      <c r="AO20" s="7">
        <f t="shared" ref="AO20" si="47">SUM(AO13:AO19)</f>
        <v>349331339.83012784</v>
      </c>
      <c r="AP20" s="23">
        <f t="shared" ref="AP20:AP31" si="48">+AO20/AM20</f>
        <v>7.6432584440864079E-2</v>
      </c>
      <c r="AQ20" s="38"/>
      <c r="AR20" s="39"/>
      <c r="AS20" s="39"/>
      <c r="AT20" s="39"/>
    </row>
    <row r="21" spans="1:46" x14ac:dyDescent="0.25">
      <c r="A21" s="5" t="s">
        <v>57</v>
      </c>
      <c r="B21" s="4">
        <f t="shared" ref="B21:B22" si="49">+AM21</f>
        <v>46484274</v>
      </c>
      <c r="C21" s="4">
        <v>2920364</v>
      </c>
      <c r="D21" s="4">
        <v>5268455</v>
      </c>
      <c r="E21" s="4">
        <f t="shared" ref="E21:E22" si="50">+C21-D21</f>
        <v>-2348091</v>
      </c>
      <c r="F21" s="4">
        <v>2920364</v>
      </c>
      <c r="G21" s="4">
        <v>4567245</v>
      </c>
      <c r="H21" s="4">
        <f t="shared" ref="H21:H22" si="51">+F21-G21</f>
        <v>-1646881</v>
      </c>
      <c r="I21" s="4">
        <v>2920364</v>
      </c>
      <c r="J21" s="4">
        <f>+[13]EjecucionPptalPasiva!$Y$25</f>
        <v>3107166</v>
      </c>
      <c r="K21" s="4">
        <f t="shared" ref="K21:K22" si="52">+I21-J21</f>
        <v>-186802</v>
      </c>
      <c r="L21" s="4">
        <f>+'[1]Déficit P&amp;K feb16'!F19</f>
        <v>2920364</v>
      </c>
      <c r="M21" s="4">
        <f>+[4]Resultados202204!$F$28+232260</f>
        <v>3318726</v>
      </c>
      <c r="N21" s="4">
        <f t="shared" ref="N21:N22" si="53">+L21-M21</f>
        <v>-398362</v>
      </c>
      <c r="O21" s="4">
        <f>+'[1]Déficit P&amp;K feb16'!G19</f>
        <v>2920364</v>
      </c>
      <c r="P21" s="4">
        <f>+[5]Resultados202205!$G$28</f>
        <v>3394273</v>
      </c>
      <c r="Q21" s="4">
        <f t="shared" ref="Q21:Q22" si="54">+O21-P21</f>
        <v>-473909</v>
      </c>
      <c r="R21" s="4">
        <v>2920364</v>
      </c>
      <c r="S21" s="4">
        <f>+[6]Resultados202205!$H$28</f>
        <v>3743961.94</v>
      </c>
      <c r="T21" s="4">
        <f t="shared" ref="T21:T22" si="55">+R21-S21</f>
        <v>-823597.94</v>
      </c>
      <c r="U21" s="4">
        <f>+'[1]Déficit P&amp;K feb16'!I19</f>
        <v>4827015</v>
      </c>
      <c r="V21" s="4">
        <f>+[7]Resultados202207!$I$28+129109</f>
        <v>3256380</v>
      </c>
      <c r="W21" s="4">
        <f t="shared" ref="W21:W22" si="56">+U21-V21</f>
        <v>1570635</v>
      </c>
      <c r="X21" s="4">
        <f>+'[1]Déficit P&amp;K feb16'!J19</f>
        <v>4827015</v>
      </c>
      <c r="Y21" s="4">
        <f>+[8]Resultados202208!$J$28</f>
        <v>3024851</v>
      </c>
      <c r="Z21" s="4">
        <f t="shared" ref="Z21:Z22" si="57">+X21-Y21</f>
        <v>1802164</v>
      </c>
      <c r="AA21" s="4">
        <f>+'[1]Déficit P&amp;K feb16'!K19</f>
        <v>4827015</v>
      </c>
      <c r="AB21" s="4">
        <f>+[9]Resultados202209!$K$28</f>
        <v>3663897</v>
      </c>
      <c r="AC21" s="4">
        <f t="shared" ref="AC21:AC22" si="58">+AA21-AB21</f>
        <v>1163118</v>
      </c>
      <c r="AD21" s="4">
        <v>4827015</v>
      </c>
      <c r="AE21" s="4">
        <f>+[10]Resultados202210!$L$28</f>
        <v>3720068.9299999997</v>
      </c>
      <c r="AF21" s="4">
        <f t="shared" ref="AF21:AF22" si="59">+AD21-AE21</f>
        <v>1106946.0700000003</v>
      </c>
      <c r="AG21" s="4">
        <f>+'[1]Déficit P&amp;K feb16'!M19</f>
        <v>4827015</v>
      </c>
      <c r="AH21" s="4">
        <f>+[11]Resultados202211!$M$28</f>
        <v>3775773</v>
      </c>
      <c r="AI21" s="4">
        <f t="shared" ref="AI21:AI22" si="60">+AG21-AH21</f>
        <v>1051242</v>
      </c>
      <c r="AJ21" s="4">
        <f>+'[1]Déficit P&amp;K feb16'!N19</f>
        <v>4827015</v>
      </c>
      <c r="AK21" s="4">
        <f>+[12]Resultados202211!$N$28</f>
        <v>1859258</v>
      </c>
      <c r="AL21" s="4">
        <f t="shared" ref="AL21:AL22" si="61">+AJ21-AK21</f>
        <v>2967757</v>
      </c>
      <c r="AM21" s="4">
        <f t="shared" ref="AM21:AN22" si="62">+C21+F21+I21+L21+O21+R21+U21+X21+AA21+AD21+AG21+AJ21</f>
        <v>46484274</v>
      </c>
      <c r="AN21" s="4">
        <f t="shared" si="62"/>
        <v>42700054.870000005</v>
      </c>
      <c r="AO21" s="4">
        <f t="shared" ref="AO21:AO22" si="63">+AM21-AN21</f>
        <v>3784219.1299999952</v>
      </c>
      <c r="AP21" s="21">
        <f t="shared" si="48"/>
        <v>8.1408588418526134E-2</v>
      </c>
      <c r="AQ21" s="38"/>
      <c r="AR21" s="39"/>
      <c r="AS21" s="39"/>
      <c r="AT21" s="39"/>
    </row>
    <row r="22" spans="1:46" x14ac:dyDescent="0.25">
      <c r="A22" s="5" t="s">
        <v>13</v>
      </c>
      <c r="B22" s="4">
        <f t="shared" si="49"/>
        <v>154498219.99999997</v>
      </c>
      <c r="C22" s="4">
        <v>0</v>
      </c>
      <c r="D22" s="4">
        <v>39258</v>
      </c>
      <c r="E22" s="4">
        <f t="shared" si="50"/>
        <v>-39258</v>
      </c>
      <c r="F22" s="4">
        <v>51059529.999999993</v>
      </c>
      <c r="G22" s="4">
        <v>39259</v>
      </c>
      <c r="H22" s="4">
        <f t="shared" si="51"/>
        <v>51020270.999999993</v>
      </c>
      <c r="I22" s="4">
        <v>51059529.999999993</v>
      </c>
      <c r="J22" s="4">
        <f>39259+350000</f>
        <v>389259</v>
      </c>
      <c r="K22" s="4">
        <f t="shared" si="52"/>
        <v>50670270.999999993</v>
      </c>
      <c r="L22" s="4">
        <f>+'[1]Déficit P&amp;K feb16'!F20</f>
        <v>52074629.999999993</v>
      </c>
      <c r="M22" s="4">
        <f>350000+29214</f>
        <v>379214</v>
      </c>
      <c r="N22" s="4">
        <f t="shared" si="53"/>
        <v>51695415.999999993</v>
      </c>
      <c r="O22" s="4">
        <f>+'[1]Déficit P&amp;K feb16'!G20</f>
        <v>304529.99999999994</v>
      </c>
      <c r="P22" s="4">
        <v>29214</v>
      </c>
      <c r="Q22" s="4">
        <f t="shared" si="54"/>
        <v>275315.99999999994</v>
      </c>
      <c r="R22" s="4">
        <v>0</v>
      </c>
      <c r="S22" s="4">
        <v>29214</v>
      </c>
      <c r="T22" s="4">
        <f t="shared" si="55"/>
        <v>-29214</v>
      </c>
      <c r="U22" s="4">
        <f>+'[1]Déficit P&amp;K feb16'!I20</f>
        <v>0</v>
      </c>
      <c r="V22" s="4">
        <v>29214</v>
      </c>
      <c r="W22" s="4">
        <f t="shared" si="56"/>
        <v>-29214</v>
      </c>
      <c r="X22" s="4">
        <f>+'[1]Déficit P&amp;K feb16'!L20</f>
        <v>0</v>
      </c>
      <c r="Y22" s="4">
        <f>1224000+1400000+29214</f>
        <v>2653214</v>
      </c>
      <c r="Z22" s="4">
        <f t="shared" si="57"/>
        <v>-2653214</v>
      </c>
      <c r="AA22" s="4">
        <f>+'[1]Déficit P&amp;K feb16'!K20</f>
        <v>0</v>
      </c>
      <c r="AB22" s="4">
        <v>29214</v>
      </c>
      <c r="AC22" s="4">
        <f t="shared" si="58"/>
        <v>-29214</v>
      </c>
      <c r="AD22" s="4">
        <v>0</v>
      </c>
      <c r="AE22" s="4">
        <v>29214</v>
      </c>
      <c r="AF22" s="4">
        <f t="shared" si="59"/>
        <v>-29214</v>
      </c>
      <c r="AG22" s="4">
        <f>+'[1]Déficit P&amp;K feb16'!M20</f>
        <v>0</v>
      </c>
      <c r="AH22" s="4">
        <v>29214</v>
      </c>
      <c r="AI22" s="4">
        <f t="shared" si="60"/>
        <v>-29214</v>
      </c>
      <c r="AJ22" s="4">
        <f>+'[1]Déficit P&amp;K feb16'!N20</f>
        <v>0</v>
      </c>
      <c r="AK22" s="4">
        <v>31735</v>
      </c>
      <c r="AL22" s="4">
        <f t="shared" si="61"/>
        <v>-31735</v>
      </c>
      <c r="AM22" s="4">
        <f t="shared" si="62"/>
        <v>154498219.99999997</v>
      </c>
      <c r="AN22" s="4">
        <f t="shared" si="62"/>
        <v>3707223</v>
      </c>
      <c r="AO22" s="4">
        <f t="shared" si="63"/>
        <v>150790996.99999997</v>
      </c>
      <c r="AP22" s="21">
        <f t="shared" si="48"/>
        <v>0.97600475267611497</v>
      </c>
      <c r="AQ22" s="38"/>
      <c r="AR22" s="39"/>
      <c r="AS22" s="39"/>
      <c r="AT22" s="39"/>
    </row>
    <row r="23" spans="1:46" x14ac:dyDescent="0.25">
      <c r="A23" s="13" t="s">
        <v>14</v>
      </c>
      <c r="B23" s="7">
        <f>SUM(B21:B22)</f>
        <v>200982493.99999997</v>
      </c>
      <c r="C23" s="7">
        <f t="shared" ref="C23:J23" si="64">SUM(C21:C22)</f>
        <v>2920364</v>
      </c>
      <c r="D23" s="7">
        <f t="shared" si="64"/>
        <v>5307713</v>
      </c>
      <c r="E23" s="7">
        <f t="shared" si="64"/>
        <v>-2387349</v>
      </c>
      <c r="F23" s="7">
        <f t="shared" si="64"/>
        <v>53979893.999999993</v>
      </c>
      <c r="G23" s="7">
        <f t="shared" si="64"/>
        <v>4606504</v>
      </c>
      <c r="H23" s="7">
        <f t="shared" si="64"/>
        <v>49373389.999999993</v>
      </c>
      <c r="I23" s="7">
        <f t="shared" si="64"/>
        <v>53979893.999999993</v>
      </c>
      <c r="J23" s="7">
        <f t="shared" si="64"/>
        <v>3496425</v>
      </c>
      <c r="K23" s="7">
        <f t="shared" ref="K23" si="65">SUM(K21:K22)</f>
        <v>50483468.999999993</v>
      </c>
      <c r="L23" s="7">
        <f t="shared" ref="L23:AN23" si="66">SUM(L21:L22)</f>
        <v>54994993.999999993</v>
      </c>
      <c r="M23" s="7">
        <f t="shared" si="66"/>
        <v>3697940</v>
      </c>
      <c r="N23" s="7">
        <f t="shared" si="66"/>
        <v>51297053.999999993</v>
      </c>
      <c r="O23" s="7">
        <f t="shared" ref="O23:Q23" si="67">SUM(O21:O22)</f>
        <v>3224894</v>
      </c>
      <c r="P23" s="7">
        <f t="shared" si="67"/>
        <v>3423487</v>
      </c>
      <c r="Q23" s="7">
        <f t="shared" si="67"/>
        <v>-198593.00000000006</v>
      </c>
      <c r="R23" s="7">
        <f t="shared" ref="R23:T23" si="68">SUM(R21:R22)</f>
        <v>2920364</v>
      </c>
      <c r="S23" s="7">
        <f t="shared" si="68"/>
        <v>3773175.94</v>
      </c>
      <c r="T23" s="7">
        <f t="shared" si="68"/>
        <v>-852811.94</v>
      </c>
      <c r="U23" s="7">
        <f t="shared" ref="U23:W23" si="69">SUM(U21:U22)</f>
        <v>4827015</v>
      </c>
      <c r="V23" s="7">
        <f t="shared" si="69"/>
        <v>3285594</v>
      </c>
      <c r="W23" s="7">
        <f t="shared" si="69"/>
        <v>1541421</v>
      </c>
      <c r="X23" s="7">
        <f t="shared" ref="X23:AC23" si="70">SUM(X21:X22)</f>
        <v>4827015</v>
      </c>
      <c r="Y23" s="7">
        <f t="shared" si="70"/>
        <v>5678065</v>
      </c>
      <c r="Z23" s="7">
        <f t="shared" si="70"/>
        <v>-851050</v>
      </c>
      <c r="AA23" s="7">
        <f t="shared" si="70"/>
        <v>4827015</v>
      </c>
      <c r="AB23" s="7">
        <f t="shared" si="70"/>
        <v>3693111</v>
      </c>
      <c r="AC23" s="7">
        <f t="shared" si="70"/>
        <v>1133904</v>
      </c>
      <c r="AD23" s="7">
        <f t="shared" ref="AD23:AF23" si="71">SUM(AD21:AD22)</f>
        <v>4827015</v>
      </c>
      <c r="AE23" s="7">
        <f t="shared" si="71"/>
        <v>3749282.9299999997</v>
      </c>
      <c r="AF23" s="7">
        <f t="shared" si="71"/>
        <v>1077732.0700000003</v>
      </c>
      <c r="AG23" s="7">
        <f t="shared" ref="AG23:AI23" si="72">SUM(AG21:AG22)</f>
        <v>4827015</v>
      </c>
      <c r="AH23" s="7">
        <f t="shared" si="72"/>
        <v>3804987</v>
      </c>
      <c r="AI23" s="7">
        <f t="shared" si="72"/>
        <v>1022028</v>
      </c>
      <c r="AJ23" s="7">
        <f t="shared" ref="AJ23:AL23" si="73">SUM(AJ21:AJ22)</f>
        <v>4827015</v>
      </c>
      <c r="AK23" s="7">
        <f t="shared" si="73"/>
        <v>1890993</v>
      </c>
      <c r="AL23" s="7">
        <f t="shared" si="73"/>
        <v>2936022</v>
      </c>
      <c r="AM23" s="7">
        <f t="shared" si="66"/>
        <v>200982493.99999997</v>
      </c>
      <c r="AN23" s="7">
        <f t="shared" si="66"/>
        <v>46407277.870000005</v>
      </c>
      <c r="AO23" s="7">
        <f>SUM(AO21:AO22)</f>
        <v>154575216.12999997</v>
      </c>
      <c r="AP23" s="23">
        <f t="shared" si="48"/>
        <v>0.76909791023888874</v>
      </c>
      <c r="AQ23" s="38"/>
      <c r="AR23" s="39"/>
      <c r="AS23" s="39"/>
      <c r="AT23" s="39"/>
    </row>
    <row r="24" spans="1:46" x14ac:dyDescent="0.25">
      <c r="A24" s="13" t="s">
        <v>1</v>
      </c>
      <c r="B24" s="7">
        <f>+B23+B20</f>
        <v>4771432942.4001274</v>
      </c>
      <c r="C24" s="7">
        <f>+C23+C20</f>
        <v>428397895.15001065</v>
      </c>
      <c r="D24" s="7">
        <f>+D23+D20</f>
        <v>222013251</v>
      </c>
      <c r="E24" s="7">
        <f>+E23+E20</f>
        <v>206384644.15001065</v>
      </c>
      <c r="F24" s="7">
        <f t="shared" ref="F24:G24" si="74">+F23+F20</f>
        <v>979644930.35001063</v>
      </c>
      <c r="G24" s="28">
        <f t="shared" si="74"/>
        <v>160869910</v>
      </c>
      <c r="H24" s="7">
        <f>+H23+H20</f>
        <v>818775020.35001063</v>
      </c>
      <c r="I24" s="7">
        <f t="shared" ref="I24:J24" si="75">+I23+I20</f>
        <v>462007422.95001066</v>
      </c>
      <c r="J24" s="7">
        <f t="shared" si="75"/>
        <v>241446511</v>
      </c>
      <c r="K24" s="7">
        <f>+K23+K20</f>
        <v>220560911.95001066</v>
      </c>
      <c r="L24" s="7">
        <f t="shared" ref="L24:M24" si="76">+L23+L20</f>
        <v>408498595.65001065</v>
      </c>
      <c r="M24" s="7">
        <f t="shared" si="76"/>
        <v>325974086</v>
      </c>
      <c r="N24" s="7">
        <f>+N23+N20</f>
        <v>82524509.650010645</v>
      </c>
      <c r="O24" s="7">
        <f t="shared" ref="O24:P24" si="77">+O23+O20</f>
        <v>169419091.15001065</v>
      </c>
      <c r="P24" s="7">
        <f t="shared" si="77"/>
        <v>224009661</v>
      </c>
      <c r="Q24" s="7">
        <f>+Q23+Q20</f>
        <v>-54590569.849989355</v>
      </c>
      <c r="R24" s="7">
        <f t="shared" ref="R24:T24" si="78">+R23+R20</f>
        <v>371134322.95001066</v>
      </c>
      <c r="S24" s="7">
        <f t="shared" si="78"/>
        <v>210679951.69</v>
      </c>
      <c r="T24" s="7">
        <f t="shared" si="78"/>
        <v>160454371.26001066</v>
      </c>
      <c r="U24" s="7">
        <f t="shared" ref="U24:W24" si="79">+U23+U20</f>
        <v>160355501.15001065</v>
      </c>
      <c r="V24" s="7">
        <f t="shared" si="79"/>
        <v>274345172.78999996</v>
      </c>
      <c r="W24" s="7">
        <f t="shared" si="79"/>
        <v>-113989671.63998935</v>
      </c>
      <c r="X24" s="7">
        <f t="shared" ref="X24:AC24" si="80">+X23+X20</f>
        <v>788611316.75001073</v>
      </c>
      <c r="Y24" s="7">
        <f t="shared" si="80"/>
        <v>317201287</v>
      </c>
      <c r="Z24" s="7">
        <f t="shared" si="80"/>
        <v>471410029.75001067</v>
      </c>
      <c r="AA24" s="7">
        <f t="shared" si="80"/>
        <v>395983408.95001066</v>
      </c>
      <c r="AB24" s="7">
        <f t="shared" si="80"/>
        <v>119235993.19</v>
      </c>
      <c r="AC24" s="7">
        <f t="shared" si="80"/>
        <v>276747415.76001066</v>
      </c>
      <c r="AD24" s="7">
        <f t="shared" ref="AD24:AF24" si="81">+AD23+AD20</f>
        <v>160355501.15001065</v>
      </c>
      <c r="AE24" s="7">
        <f t="shared" si="81"/>
        <v>326759188.12</v>
      </c>
      <c r="AF24" s="7">
        <f t="shared" si="81"/>
        <v>-166403686.96998936</v>
      </c>
      <c r="AG24" s="7">
        <f t="shared" ref="AG24:AI24" si="82">+AG23+AG20</f>
        <v>285669455.05001068</v>
      </c>
      <c r="AH24" s="7">
        <f t="shared" si="82"/>
        <v>505045426.88</v>
      </c>
      <c r="AI24" s="7">
        <f t="shared" si="82"/>
        <v>-219375971.82998937</v>
      </c>
      <c r="AJ24" s="7">
        <f t="shared" ref="AJ24:AL24" si="83">+AJ23+AJ20</f>
        <v>161355501.15001065</v>
      </c>
      <c r="AK24" s="7">
        <f t="shared" si="83"/>
        <v>1339945947.77</v>
      </c>
      <c r="AL24" s="7">
        <f t="shared" si="83"/>
        <v>-1178590446.6199892</v>
      </c>
      <c r="AM24" s="7">
        <f>+AM23+AM20</f>
        <v>4771432942.4001274</v>
      </c>
      <c r="AN24" s="7">
        <f t="shared" ref="AN24:AO24" si="84">+AN23+AN20</f>
        <v>4267526386.4399996</v>
      </c>
      <c r="AO24" s="7">
        <f t="shared" si="84"/>
        <v>503906555.96012783</v>
      </c>
      <c r="AP24" s="23">
        <f t="shared" si="48"/>
        <v>0.10560906168926533</v>
      </c>
      <c r="AQ24" s="41">
        <f>+AL24/AJ24*100</f>
        <v>-730.43090456783682</v>
      </c>
      <c r="AR24" s="39"/>
      <c r="AS24" s="39"/>
      <c r="AT24" s="39"/>
    </row>
    <row r="25" spans="1:46" x14ac:dyDescent="0.25">
      <c r="A25" s="20" t="s">
        <v>86</v>
      </c>
      <c r="B25" s="4">
        <f t="shared" ref="B25:B34" si="85">+AM25</f>
        <v>1189456578.4375465</v>
      </c>
      <c r="C25" s="4">
        <v>98182237.037049666</v>
      </c>
      <c r="D25" s="4">
        <v>87341841</v>
      </c>
      <c r="E25" s="4">
        <f t="shared" ref="E25:E86" si="86">+C25-D25</f>
        <v>10840396.037049666</v>
      </c>
      <c r="F25" s="4">
        <v>98182237.030000001</v>
      </c>
      <c r="G25" s="4">
        <v>87488459</v>
      </c>
      <c r="H25" s="4">
        <f t="shared" ref="H25:H89" si="87">+F25-G25</f>
        <v>10693778.030000001</v>
      </c>
      <c r="I25" s="4">
        <v>98182237.037049666</v>
      </c>
      <c r="J25" s="4">
        <v>80012977</v>
      </c>
      <c r="K25" s="4">
        <f t="shared" ref="K25:K89" si="88">+I25-J25</f>
        <v>18169260.037049666</v>
      </c>
      <c r="L25" s="4">
        <f>+'[1]Déficit P&amp;K feb16'!F23</f>
        <v>98182237.037049666</v>
      </c>
      <c r="M25" s="4">
        <f>+[4]Resultados202204!$F$42</f>
        <v>86472602</v>
      </c>
      <c r="N25" s="4">
        <f t="shared" ref="N25:N89" si="89">+L25-M25</f>
        <v>11709635.037049666</v>
      </c>
      <c r="O25" s="4">
        <f>+'[1]Déficit P&amp;K feb16'!G23</f>
        <v>98182237.037049666</v>
      </c>
      <c r="P25" s="4">
        <f>+[5]Resultados202205!$G$42</f>
        <v>93538914</v>
      </c>
      <c r="Q25" s="4">
        <f t="shared" ref="Q25:Q34" si="90">+O25-P25</f>
        <v>4643323.037049666</v>
      </c>
      <c r="R25" s="4">
        <v>98182237.037049666</v>
      </c>
      <c r="S25" s="4">
        <f>+[6]Resultados202205!$H$42</f>
        <v>84124502.019999996</v>
      </c>
      <c r="T25" s="4">
        <f t="shared" ref="T25:T34" si="91">+R25-S25</f>
        <v>14057735.01704967</v>
      </c>
      <c r="U25" s="4">
        <f>+'[1]Déficit P&amp;K feb16'!I23</f>
        <v>100060526.0370497</v>
      </c>
      <c r="V25" s="4">
        <f>+[7]Resultados202207!$I$42</f>
        <v>87104693</v>
      </c>
      <c r="W25" s="4">
        <f t="shared" ref="W25:W34" si="92">+U25-V25</f>
        <v>12955833.037049696</v>
      </c>
      <c r="X25" s="4">
        <f>+'[1]Déficit P&amp;K feb16'!J23</f>
        <v>100060526.0370497</v>
      </c>
      <c r="Y25" s="4">
        <f>+[8]Resultados202208!$J$42</f>
        <v>89009572</v>
      </c>
      <c r="Z25" s="4">
        <f t="shared" ref="Z25:Z34" si="93">+X25-Y25</f>
        <v>11050954.037049696</v>
      </c>
      <c r="AA25" s="4">
        <f>+'[1]Déficit P&amp;K feb16'!K23</f>
        <v>100060526.0370497</v>
      </c>
      <c r="AB25" s="4">
        <f>+[9]Resultados202209!$K$42</f>
        <v>94482686</v>
      </c>
      <c r="AC25" s="4">
        <f t="shared" ref="AC25:AC88" si="94">+AA25-AB25</f>
        <v>5577840.0370496958</v>
      </c>
      <c r="AD25" s="4">
        <v>100060526.0370497</v>
      </c>
      <c r="AE25" s="4">
        <f>+[10]Resultados202210!$L$42</f>
        <v>103960183.23</v>
      </c>
      <c r="AF25" s="4">
        <f t="shared" ref="AF25:AF34" si="95">+AD25-AE25</f>
        <v>-3899657.1929503083</v>
      </c>
      <c r="AG25" s="4">
        <f>+'[1]Déficit P&amp;K feb16'!M23</f>
        <v>100060526.0370497</v>
      </c>
      <c r="AH25" s="4">
        <f>+[11]Resultados202211!$M$42</f>
        <v>78983314.430000007</v>
      </c>
      <c r="AI25" s="4">
        <f t="shared" ref="AI25:AI34" si="96">+AG25-AH25</f>
        <v>21077211.607049689</v>
      </c>
      <c r="AJ25" s="4">
        <f>+'[1]Déficit P&amp;K feb16'!N23</f>
        <v>100060526.0370497</v>
      </c>
      <c r="AK25" s="4">
        <f>+[12]Resultados202211!$N$42</f>
        <v>83892999.109999999</v>
      </c>
      <c r="AL25" s="4">
        <f t="shared" ref="AL25:AL34" si="97">+AJ25-AK25</f>
        <v>16167526.927049696</v>
      </c>
      <c r="AM25" s="4">
        <f>+C25+F25+I25+L25+O25+R25+U25+X25+AA25+AD25+AG25+AJ25</f>
        <v>1189456578.4375465</v>
      </c>
      <c r="AN25" s="4">
        <f t="shared" ref="AM25:AN88" si="98">+D25+G25+J25+M25+P25+S25+V25+Y25+AB25+AE25+AH25+AK25</f>
        <v>1056412742.7900001</v>
      </c>
      <c r="AO25" s="4">
        <f t="shared" ref="AO25:AO33" si="99">+AM25-AN25</f>
        <v>133043835.64754641</v>
      </c>
      <c r="AP25" s="21">
        <f t="shared" si="48"/>
        <v>0.11185262081808058</v>
      </c>
      <c r="AQ25" s="38"/>
      <c r="AR25" s="39"/>
      <c r="AS25" s="39"/>
      <c r="AT25" s="39"/>
    </row>
    <row r="26" spans="1:46" ht="45" x14ac:dyDescent="0.25">
      <c r="A26" s="19" t="s">
        <v>76</v>
      </c>
      <c r="B26" s="4">
        <f t="shared" si="85"/>
        <v>21114079.999999996</v>
      </c>
      <c r="C26" s="4">
        <v>10557039.999999998</v>
      </c>
      <c r="D26" s="4">
        <v>0</v>
      </c>
      <c r="E26" s="4">
        <f t="shared" si="86"/>
        <v>10557039.999999998</v>
      </c>
      <c r="F26" s="4">
        <v>10557039.999999998</v>
      </c>
      <c r="G26" s="4">
        <v>0</v>
      </c>
      <c r="H26" s="4">
        <f t="shared" si="87"/>
        <v>10557039.999999998</v>
      </c>
      <c r="I26" s="4">
        <v>0</v>
      </c>
      <c r="J26" s="4">
        <v>0</v>
      </c>
      <c r="K26" s="4">
        <f t="shared" si="88"/>
        <v>0</v>
      </c>
      <c r="L26" s="4">
        <f>+'[1]Déficit P&amp;K feb16'!F24</f>
        <v>0</v>
      </c>
      <c r="M26" s="4">
        <v>0</v>
      </c>
      <c r="N26" s="4">
        <f t="shared" si="89"/>
        <v>0</v>
      </c>
      <c r="O26" s="4">
        <f>+'[1]Déficit P&amp;K feb16'!G24</f>
        <v>0</v>
      </c>
      <c r="P26" s="4">
        <v>3375512</v>
      </c>
      <c r="Q26" s="4">
        <f t="shared" si="90"/>
        <v>-3375512</v>
      </c>
      <c r="R26" s="9">
        <v>0</v>
      </c>
      <c r="S26" s="4">
        <v>0</v>
      </c>
      <c r="T26" s="4">
        <f t="shared" si="91"/>
        <v>0</v>
      </c>
      <c r="U26" s="4">
        <f>+'[1]Déficit P&amp;K feb16'!I24</f>
        <v>0</v>
      </c>
      <c r="V26" s="4">
        <v>0</v>
      </c>
      <c r="W26" s="4">
        <f t="shared" si="92"/>
        <v>0</v>
      </c>
      <c r="X26" s="4">
        <f>+'[1]Déficit P&amp;K feb16'!J24</f>
        <v>0</v>
      </c>
      <c r="Y26" s="4">
        <v>0</v>
      </c>
      <c r="Z26" s="4">
        <f t="shared" si="93"/>
        <v>0</v>
      </c>
      <c r="AA26" s="4">
        <f>+'[1]Déficit P&amp;K feb16'!K24</f>
        <v>0</v>
      </c>
      <c r="AB26" s="4">
        <v>0</v>
      </c>
      <c r="AC26" s="4">
        <f t="shared" si="94"/>
        <v>0</v>
      </c>
      <c r="AD26" s="9">
        <v>0</v>
      </c>
      <c r="AE26" s="4">
        <v>1540000</v>
      </c>
      <c r="AF26" s="4">
        <f t="shared" si="95"/>
        <v>-1540000</v>
      </c>
      <c r="AG26" s="4">
        <f>+'[1]Déficit P&amp;K feb16'!M24</f>
        <v>0</v>
      </c>
      <c r="AH26" s="4">
        <v>0</v>
      </c>
      <c r="AI26" s="4">
        <f t="shared" si="96"/>
        <v>0</v>
      </c>
      <c r="AJ26" s="4">
        <f>+'[1]Déficit P&amp;K feb16'!N24</f>
        <v>0</v>
      </c>
      <c r="AK26" s="4">
        <v>0</v>
      </c>
      <c r="AL26" s="4">
        <f t="shared" si="97"/>
        <v>0</v>
      </c>
      <c r="AM26" s="4">
        <f t="shared" si="98"/>
        <v>21114079.999999996</v>
      </c>
      <c r="AN26" s="4">
        <f t="shared" si="98"/>
        <v>4915512</v>
      </c>
      <c r="AO26" s="4">
        <f t="shared" si="99"/>
        <v>16198567.999999996</v>
      </c>
      <c r="AP26" s="21">
        <f t="shared" si="48"/>
        <v>0.7671926979532141</v>
      </c>
      <c r="AQ26" s="38"/>
      <c r="AR26" s="39"/>
      <c r="AS26" s="39"/>
      <c r="AT26" s="39"/>
    </row>
    <row r="27" spans="1:46" ht="45" x14ac:dyDescent="0.25">
      <c r="A27" s="19" t="s">
        <v>77</v>
      </c>
      <c r="B27" s="4">
        <f t="shared" si="85"/>
        <v>32483199.999999993</v>
      </c>
      <c r="C27" s="9">
        <v>0</v>
      </c>
      <c r="D27" s="9">
        <v>0</v>
      </c>
      <c r="E27" s="4">
        <f t="shared" si="86"/>
        <v>0</v>
      </c>
      <c r="F27" s="9">
        <v>0</v>
      </c>
      <c r="G27" s="9">
        <v>0</v>
      </c>
      <c r="H27" s="4">
        <f t="shared" si="87"/>
        <v>0</v>
      </c>
      <c r="I27" s="9">
        <v>0</v>
      </c>
      <c r="J27" s="4">
        <v>0</v>
      </c>
      <c r="K27" s="4">
        <f t="shared" si="88"/>
        <v>0</v>
      </c>
      <c r="L27" s="4">
        <f>+'[1]Déficit P&amp;K feb16'!F25</f>
        <v>10150999.999999998</v>
      </c>
      <c r="M27" s="4">
        <f>5806500+712264+1687756</f>
        <v>8206520</v>
      </c>
      <c r="N27" s="4">
        <f t="shared" si="89"/>
        <v>1944479.9999999981</v>
      </c>
      <c r="O27" s="4">
        <f>+'[1]Déficit P&amp;K feb16'!G25</f>
        <v>10150999.999999998</v>
      </c>
      <c r="P27" s="4">
        <v>8206521</v>
      </c>
      <c r="Q27" s="4">
        <f t="shared" si="90"/>
        <v>1944478.9999999981</v>
      </c>
      <c r="R27" s="4">
        <v>12181199.999999998</v>
      </c>
      <c r="S27" s="4">
        <v>0</v>
      </c>
      <c r="T27" s="4">
        <f t="shared" si="91"/>
        <v>12181199.999999998</v>
      </c>
      <c r="U27" s="4">
        <f>+'[1]Déficit P&amp;K feb16'!I25</f>
        <v>0</v>
      </c>
      <c r="V27" s="4">
        <v>4561869</v>
      </c>
      <c r="W27" s="4">
        <f t="shared" si="92"/>
        <v>-4561869</v>
      </c>
      <c r="X27" s="4">
        <f>+'[1]Déficit P&amp;K feb16'!J25</f>
        <v>0</v>
      </c>
      <c r="Y27" s="4">
        <f>4200000+2750000+1850000</f>
        <v>8800000</v>
      </c>
      <c r="Z27" s="4">
        <f t="shared" si="93"/>
        <v>-8800000</v>
      </c>
      <c r="AA27" s="4">
        <f>+'[1]Déficit P&amp;K feb16'!K25</f>
        <v>0</v>
      </c>
      <c r="AB27" s="4">
        <f>2275200+125000+750000+125000+25000+196000+168000+163350+829920+385000+935000+330000</f>
        <v>6307470</v>
      </c>
      <c r="AC27" s="4">
        <f t="shared" si="94"/>
        <v>-6307470</v>
      </c>
      <c r="AD27" s="4">
        <v>0</v>
      </c>
      <c r="AE27" s="4">
        <f>362355+1449420+757800+400000+3296033</f>
        <v>6265608</v>
      </c>
      <c r="AF27" s="4">
        <f t="shared" si="95"/>
        <v>-6265608</v>
      </c>
      <c r="AG27" s="4">
        <f>+'[1]Déficit P&amp;K feb16'!M25</f>
        <v>0</v>
      </c>
      <c r="AH27" s="4">
        <v>0</v>
      </c>
      <c r="AI27" s="4">
        <f t="shared" si="96"/>
        <v>0</v>
      </c>
      <c r="AJ27" s="4">
        <f>+'[1]Déficit P&amp;K feb16'!N25</f>
        <v>0</v>
      </c>
      <c r="AK27" s="4">
        <f>1005000+3060000+200000</f>
        <v>4265000</v>
      </c>
      <c r="AL27" s="4">
        <f t="shared" si="97"/>
        <v>-4265000</v>
      </c>
      <c r="AM27" s="4">
        <f t="shared" ref="AM27:AM35" si="100">+C27+F27+I27+L27+O27+R27+U27+X27+AA27+AD27+AG27+AJ27</f>
        <v>32483199.999999993</v>
      </c>
      <c r="AN27" s="4">
        <f t="shared" si="98"/>
        <v>46612988</v>
      </c>
      <c r="AO27" s="4">
        <f t="shared" si="99"/>
        <v>-14129788.000000007</v>
      </c>
      <c r="AP27" s="21">
        <f t="shared" si="48"/>
        <v>-0.43498756280169476</v>
      </c>
      <c r="AQ27" s="38"/>
      <c r="AR27" s="39"/>
      <c r="AS27" s="39"/>
      <c r="AT27" s="39"/>
    </row>
    <row r="28" spans="1:46" x14ac:dyDescent="0.25">
      <c r="A28" s="5" t="s">
        <v>15</v>
      </c>
      <c r="B28" s="4">
        <f t="shared" si="85"/>
        <v>8171554.9999999991</v>
      </c>
      <c r="C28" s="4">
        <v>8171554.9999999991</v>
      </c>
      <c r="D28" s="4">
        <v>684800</v>
      </c>
      <c r="E28" s="4">
        <f t="shared" si="86"/>
        <v>7486754.9999999991</v>
      </c>
      <c r="F28" s="4">
        <v>0</v>
      </c>
      <c r="G28" s="4">
        <v>3890000</v>
      </c>
      <c r="H28" s="4">
        <f t="shared" si="87"/>
        <v>-3890000</v>
      </c>
      <c r="I28" s="4">
        <v>0</v>
      </c>
      <c r="J28" s="4"/>
      <c r="K28" s="4">
        <f t="shared" si="88"/>
        <v>0</v>
      </c>
      <c r="L28" s="4">
        <f>+'[1]Déficit P&amp;K feb16'!F26</f>
        <v>0</v>
      </c>
      <c r="M28" s="4"/>
      <c r="N28" s="4">
        <f t="shared" si="89"/>
        <v>0</v>
      </c>
      <c r="O28" s="4">
        <f>+'[1]Déficit P&amp;K feb16'!G26</f>
        <v>0</v>
      </c>
      <c r="P28" s="4">
        <v>0</v>
      </c>
      <c r="Q28" s="4">
        <f t="shared" si="90"/>
        <v>0</v>
      </c>
      <c r="R28" s="4">
        <v>0</v>
      </c>
      <c r="S28" s="4">
        <v>29200</v>
      </c>
      <c r="T28" s="4">
        <f t="shared" si="91"/>
        <v>-29200</v>
      </c>
      <c r="U28" s="4">
        <f>+'[1]Déficit P&amp;K feb16'!I26</f>
        <v>0</v>
      </c>
      <c r="V28" s="4">
        <v>29200</v>
      </c>
      <c r="W28" s="4">
        <f t="shared" si="92"/>
        <v>-29200</v>
      </c>
      <c r="X28" s="4">
        <f>+'[1]Déficit P&amp;K feb16'!J26</f>
        <v>0</v>
      </c>
      <c r="Y28" s="4">
        <f>29214+1230000+665000</f>
        <v>1924214</v>
      </c>
      <c r="Z28" s="4">
        <f t="shared" si="93"/>
        <v>-1924214</v>
      </c>
      <c r="AA28" s="4">
        <f>+'[1]Déficit P&amp;K feb16'!K26</f>
        <v>0</v>
      </c>
      <c r="AB28" s="4">
        <v>29214</v>
      </c>
      <c r="AC28" s="4">
        <f t="shared" si="94"/>
        <v>-29214</v>
      </c>
      <c r="AD28" s="4">
        <v>0</v>
      </c>
      <c r="AE28" s="4">
        <f>29214+105864+4971600+5234400+48000+8251200+7693200</f>
        <v>26333478</v>
      </c>
      <c r="AF28" s="4">
        <f t="shared" si="95"/>
        <v>-26333478</v>
      </c>
      <c r="AG28" s="4">
        <f>+'[1]Déficit P&amp;K feb16'!M26</f>
        <v>0</v>
      </c>
      <c r="AH28" s="4">
        <f>213000+360000</f>
        <v>573000</v>
      </c>
      <c r="AI28" s="4">
        <f t="shared" si="96"/>
        <v>-573000</v>
      </c>
      <c r="AJ28" s="4">
        <f>+'[1]Déficit P&amp;K feb16'!N26</f>
        <v>0</v>
      </c>
      <c r="AK28" s="4">
        <v>31735</v>
      </c>
      <c r="AL28" s="4">
        <f t="shared" si="97"/>
        <v>-31735</v>
      </c>
      <c r="AM28" s="4">
        <f t="shared" si="100"/>
        <v>8171554.9999999991</v>
      </c>
      <c r="AN28" s="4">
        <f t="shared" si="98"/>
        <v>33524841</v>
      </c>
      <c r="AO28" s="4">
        <f t="shared" si="99"/>
        <v>-25353286</v>
      </c>
      <c r="AP28" s="21">
        <f t="shared" si="48"/>
        <v>-3.1026268562103545</v>
      </c>
      <c r="AQ28" s="38"/>
      <c r="AR28" s="39"/>
      <c r="AS28" s="39"/>
      <c r="AT28" s="39"/>
    </row>
    <row r="29" spans="1:46" x14ac:dyDescent="0.25">
      <c r="A29" s="5" t="s">
        <v>16</v>
      </c>
      <c r="B29" s="4">
        <f t="shared" si="85"/>
        <v>429162712.67456961</v>
      </c>
      <c r="C29" s="4">
        <v>48142906.871866576</v>
      </c>
      <c r="D29" s="4">
        <v>36618428</v>
      </c>
      <c r="E29" s="4">
        <f t="shared" si="86"/>
        <v>11524478.871866576</v>
      </c>
      <c r="F29" s="4">
        <v>66751859</v>
      </c>
      <c r="G29" s="4">
        <v>98264000</v>
      </c>
      <c r="H29" s="4">
        <f t="shared" si="87"/>
        <v>-31512141</v>
      </c>
      <c r="I29" s="4">
        <v>45672486.802703016</v>
      </c>
      <c r="J29" s="4">
        <v>62884305</v>
      </c>
      <c r="K29" s="4">
        <f t="shared" si="88"/>
        <v>-17211818.197296984</v>
      </c>
      <c r="L29" s="4">
        <f>+'[1]Déficit P&amp;K feb16'!F27</f>
        <v>31468099.999999996</v>
      </c>
      <c r="M29" s="4">
        <f>40824130+54828</f>
        <v>40878958</v>
      </c>
      <c r="N29" s="4">
        <f t="shared" si="89"/>
        <v>-9410858.0000000037</v>
      </c>
      <c r="O29" s="4">
        <f>+'[1]Déficit P&amp;K feb16'!G27</f>
        <v>29437899.999999996</v>
      </c>
      <c r="P29" s="4">
        <v>1051525</v>
      </c>
      <c r="Q29" s="4">
        <f t="shared" si="90"/>
        <v>28386374.999999996</v>
      </c>
      <c r="R29" s="4">
        <v>29437899.999999996</v>
      </c>
      <c r="S29" s="4">
        <f>58428+32467588</f>
        <v>32526016</v>
      </c>
      <c r="T29" s="4">
        <f t="shared" si="91"/>
        <v>-3088116.0000000037</v>
      </c>
      <c r="U29" s="4">
        <f>+'[1]Déficit P&amp;K feb16'!I27</f>
        <v>31468099.999999996</v>
      </c>
      <c r="V29" s="4">
        <v>34521174.460000001</v>
      </c>
      <c r="W29" s="4">
        <f t="shared" si="92"/>
        <v>-3053074.4600000046</v>
      </c>
      <c r="X29" s="4">
        <f>+'[1]Déficit P&amp;K feb16'!J27</f>
        <v>29437899.999999996</v>
      </c>
      <c r="Y29" s="4">
        <f>58428+19011600+13455988</f>
        <v>32526016</v>
      </c>
      <c r="Z29" s="4">
        <f t="shared" si="93"/>
        <v>-3088116.0000000037</v>
      </c>
      <c r="AA29" s="4">
        <f>+'[1]Déficit P&amp;K feb16'!K27</f>
        <v>29437899.999999996</v>
      </c>
      <c r="AB29" s="4">
        <f>58428+19011600+13455988</f>
        <v>32526016</v>
      </c>
      <c r="AC29" s="4">
        <f t="shared" si="94"/>
        <v>-3088116.0000000037</v>
      </c>
      <c r="AD29" s="4">
        <v>29437899.999999996</v>
      </c>
      <c r="AE29" s="4">
        <f>58428+19011600+13455988</f>
        <v>32526016</v>
      </c>
      <c r="AF29" s="4">
        <f t="shared" si="95"/>
        <v>-3088116.0000000037</v>
      </c>
      <c r="AG29" s="4">
        <f>+'[1]Déficit P&amp;K feb16'!M27</f>
        <v>28828839.999999996</v>
      </c>
      <c r="AH29" s="4">
        <f>58428+19011600+13455987.88</f>
        <v>32526015.880000003</v>
      </c>
      <c r="AI29" s="4">
        <f t="shared" si="96"/>
        <v>-3697175.8800000064</v>
      </c>
      <c r="AJ29" s="4">
        <f>+'[1]Déficit P&amp;K feb16'!N27</f>
        <v>29640919.999999996</v>
      </c>
      <c r="AK29" s="4">
        <f>643600+63470+870000+8872079.8+1459300+2840168+2840168+4260252+24615000</f>
        <v>46464037.799999997</v>
      </c>
      <c r="AL29" s="4">
        <f t="shared" si="97"/>
        <v>-16823117.800000001</v>
      </c>
      <c r="AM29" s="4">
        <f t="shared" si="100"/>
        <v>429162712.67456961</v>
      </c>
      <c r="AN29" s="4">
        <f t="shared" si="98"/>
        <v>483312508.13999999</v>
      </c>
      <c r="AO29" s="4">
        <f t="shared" si="99"/>
        <v>-54149795.465430379</v>
      </c>
      <c r="AP29" s="21">
        <f t="shared" si="48"/>
        <v>-0.12617544317390803</v>
      </c>
      <c r="AQ29" s="38"/>
      <c r="AR29" s="39"/>
      <c r="AS29" s="39"/>
      <c r="AT29" s="39"/>
    </row>
    <row r="30" spans="1:46" x14ac:dyDescent="0.25">
      <c r="A30" s="5" t="s">
        <v>6</v>
      </c>
      <c r="B30" s="4">
        <f t="shared" si="85"/>
        <v>1018560164.7999997</v>
      </c>
      <c r="C30" s="4">
        <v>120496430.39999999</v>
      </c>
      <c r="D30" s="4">
        <v>44182938</v>
      </c>
      <c r="E30" s="4">
        <f t="shared" si="86"/>
        <v>76313492.399999991</v>
      </c>
      <c r="F30" s="4">
        <v>29137430.399999999</v>
      </c>
      <c r="G30" s="4">
        <v>46666545</v>
      </c>
      <c r="H30" s="4">
        <f t="shared" si="87"/>
        <v>-17529114.600000001</v>
      </c>
      <c r="I30" s="4">
        <v>556989430.39999998</v>
      </c>
      <c r="J30" s="4">
        <v>45475716</v>
      </c>
      <c r="K30" s="4">
        <f t="shared" si="88"/>
        <v>511513714.39999998</v>
      </c>
      <c r="L30" s="4">
        <f>+'[1]Déficit P&amp;K feb16'!F28</f>
        <v>78837430.400000006</v>
      </c>
      <c r="M30" s="4">
        <f>32649232</f>
        <v>32649232</v>
      </c>
      <c r="N30" s="4">
        <f t="shared" si="89"/>
        <v>46188198.400000006</v>
      </c>
      <c r="O30" s="4">
        <f>+'[1]Déficit P&amp;K feb16'!G28</f>
        <v>29137430.399999999</v>
      </c>
      <c r="P30" s="4">
        <f>87161789+596+58428+39860988</f>
        <v>127081801</v>
      </c>
      <c r="Q30" s="4">
        <f t="shared" si="90"/>
        <v>-97944370.599999994</v>
      </c>
      <c r="R30" s="4">
        <v>29137430.399999999</v>
      </c>
      <c r="S30" s="4">
        <f>39704677+5695</f>
        <v>39710372</v>
      </c>
      <c r="T30" s="4">
        <f t="shared" si="91"/>
        <v>-10572941.600000001</v>
      </c>
      <c r="U30" s="4">
        <f>+'[1]Déficit P&amp;K feb16'!I28</f>
        <v>29137430.399999999</v>
      </c>
      <c r="V30" s="4">
        <v>32179262.52</v>
      </c>
      <c r="W30" s="4">
        <f t="shared" si="92"/>
        <v>-3041832.120000001</v>
      </c>
      <c r="X30" s="4">
        <f>+'[1]Déficit P&amp;K feb16'!J28</f>
        <v>29137430.399999999</v>
      </c>
      <c r="Y30" s="4">
        <f>126430200+29214+29151100+13124000+34790000+2196000</f>
        <v>205720514</v>
      </c>
      <c r="Z30" s="4">
        <f t="shared" si="93"/>
        <v>-176583083.59999999</v>
      </c>
      <c r="AA30" s="4">
        <f>+'[1]Déficit P&amp;K feb16'!K28</f>
        <v>29137430.399999999</v>
      </c>
      <c r="AB30" s="4">
        <f>29214+67630552</f>
        <v>67659766</v>
      </c>
      <c r="AC30" s="4">
        <f t="shared" si="94"/>
        <v>-38522335.600000001</v>
      </c>
      <c r="AD30" s="4">
        <v>29137430.399999999</v>
      </c>
      <c r="AE30" s="4">
        <f>7627+29214</f>
        <v>36841</v>
      </c>
      <c r="AF30" s="4">
        <f t="shared" si="95"/>
        <v>29100589.399999999</v>
      </c>
      <c r="AG30" s="4">
        <f>+'[1]Déficit P&amp;K feb16'!M28</f>
        <v>29137430.399999999</v>
      </c>
      <c r="AH30" s="4">
        <f>4151+29214+29214+61134287.52+650000+14910000+2940000+42143400</f>
        <v>121840266.52000001</v>
      </c>
      <c r="AI30" s="4">
        <f t="shared" si="96"/>
        <v>-92702836.120000005</v>
      </c>
      <c r="AJ30" s="4">
        <f>+'[1]Déficit P&amp;K feb16'!N28</f>
        <v>29137430.399999999</v>
      </c>
      <c r="AK30" s="4">
        <f>17560000+16713+31735+82757804+13550000+108742144.64+35223883</f>
        <v>257882279.63999999</v>
      </c>
      <c r="AL30" s="4">
        <f t="shared" si="97"/>
        <v>-228744849.23999998</v>
      </c>
      <c r="AM30" s="4">
        <f t="shared" si="100"/>
        <v>1018560164.7999997</v>
      </c>
      <c r="AN30" s="4">
        <f t="shared" si="98"/>
        <v>1021085533.6799999</v>
      </c>
      <c r="AO30" s="4">
        <f t="shared" si="99"/>
        <v>-2525368.8800002337</v>
      </c>
      <c r="AP30" s="21">
        <f t="shared" si="48"/>
        <v>-2.4793517037809002E-3</v>
      </c>
      <c r="AQ30" s="38"/>
      <c r="AR30" s="39"/>
      <c r="AS30" s="39"/>
      <c r="AT30" s="39"/>
    </row>
    <row r="31" spans="1:46" x14ac:dyDescent="0.25">
      <c r="A31" s="5" t="s">
        <v>85</v>
      </c>
      <c r="B31" s="4">
        <f t="shared" si="85"/>
        <v>28116832.134283274</v>
      </c>
      <c r="C31" s="4">
        <v>13953070.434283275</v>
      </c>
      <c r="D31" s="4">
        <v>2068473</v>
      </c>
      <c r="E31" s="4">
        <f t="shared" si="86"/>
        <v>11884597.434283275</v>
      </c>
      <c r="F31" s="4">
        <v>14163761.699999999</v>
      </c>
      <c r="G31" s="4">
        <v>16763000</v>
      </c>
      <c r="H31" s="4">
        <f t="shared" si="87"/>
        <v>-2599238.3000000007</v>
      </c>
      <c r="I31" s="4">
        <v>0</v>
      </c>
      <c r="J31" s="4">
        <v>11702701</v>
      </c>
      <c r="K31" s="4">
        <f t="shared" si="88"/>
        <v>-11702701</v>
      </c>
      <c r="L31" s="4">
        <f>+'[1]Déficit P&amp;K feb16'!F29</f>
        <v>0</v>
      </c>
      <c r="M31" s="4">
        <f>169995+5450000</f>
        <v>5619995</v>
      </c>
      <c r="N31" s="4">
        <f t="shared" si="89"/>
        <v>-5619995</v>
      </c>
      <c r="O31" s="4">
        <f>+'[1]Déficit P&amp;K feb16'!G29</f>
        <v>0</v>
      </c>
      <c r="P31" s="4">
        <f>1573700+143107+5450000+820000</f>
        <v>7986807</v>
      </c>
      <c r="Q31" s="4">
        <f t="shared" si="90"/>
        <v>-7986807</v>
      </c>
      <c r="R31" s="4">
        <v>0</v>
      </c>
      <c r="S31" s="4">
        <f>2538794+113909+5450000</f>
        <v>8102703</v>
      </c>
      <c r="T31" s="4">
        <f t="shared" si="91"/>
        <v>-8102703</v>
      </c>
      <c r="U31" s="4">
        <f>+'[1]Déficit P&amp;K feb16'!I29</f>
        <v>0</v>
      </c>
      <c r="V31" s="4">
        <v>8171640</v>
      </c>
      <c r="W31" s="4">
        <f t="shared" si="92"/>
        <v>-8171640</v>
      </c>
      <c r="X31" s="4">
        <f>+'[1]Déficit P&amp;K feb16'!J29</f>
        <v>0</v>
      </c>
      <c r="Y31" s="4">
        <f>110000+2988597+113909+5450000</f>
        <v>8662506</v>
      </c>
      <c r="Z31" s="4">
        <f t="shared" si="93"/>
        <v>-8662506</v>
      </c>
      <c r="AA31" s="4">
        <f>+'[1]Déficit P&amp;K feb16'!K29</f>
        <v>0</v>
      </c>
      <c r="AB31" s="4">
        <f>762700+4388655-445000+113909+5450000+2379500</f>
        <v>12649764</v>
      </c>
      <c r="AC31" s="4">
        <f t="shared" si="94"/>
        <v>-12649764</v>
      </c>
      <c r="AD31" s="4">
        <v>0</v>
      </c>
      <c r="AE31" s="4">
        <f>586000+330300+335598+80000+3982400+3590542+113909+5450000+558800</f>
        <v>15027549</v>
      </c>
      <c r="AF31" s="4">
        <f t="shared" si="95"/>
        <v>-15027549</v>
      </c>
      <c r="AG31" s="4">
        <f>+'[1]Déficit P&amp;K feb16'!M29</f>
        <v>0</v>
      </c>
      <c r="AH31" s="4">
        <f>624500.5+590000+4504951+113893+5720000+2600028+99000+35000</f>
        <v>14287372.5</v>
      </c>
      <c r="AI31" s="4">
        <f t="shared" si="96"/>
        <v>-14287372.5</v>
      </c>
      <c r="AJ31" s="4">
        <f>+'[1]Déficit P&amp;K feb16'!N29</f>
        <v>0</v>
      </c>
      <c r="AK31" s="4">
        <f>1462000+300000+26620000+6320973+118095+7970000+1038200</f>
        <v>43829268</v>
      </c>
      <c r="AL31" s="4">
        <f t="shared" si="97"/>
        <v>-43829268</v>
      </c>
      <c r="AM31" s="4">
        <f t="shared" si="100"/>
        <v>28116832.134283274</v>
      </c>
      <c r="AN31" s="4">
        <f t="shared" si="98"/>
        <v>154871778.5</v>
      </c>
      <c r="AO31" s="4">
        <f t="shared" si="99"/>
        <v>-126754946.36571673</v>
      </c>
      <c r="AP31" s="21">
        <f t="shared" si="48"/>
        <v>-4.5081517633404555</v>
      </c>
      <c r="AQ31" s="38"/>
      <c r="AR31" s="39"/>
      <c r="AS31" s="39"/>
      <c r="AT31" s="39"/>
    </row>
    <row r="32" spans="1:46" x14ac:dyDescent="0.25">
      <c r="A32" s="5" t="s">
        <v>90</v>
      </c>
      <c r="B32" s="4">
        <f t="shared" si="85"/>
        <v>49700000</v>
      </c>
      <c r="C32" s="4">
        <v>0</v>
      </c>
      <c r="D32" s="4">
        <v>0</v>
      </c>
      <c r="E32" s="4">
        <f t="shared" si="86"/>
        <v>0</v>
      </c>
      <c r="F32" s="4">
        <v>0</v>
      </c>
      <c r="G32" s="4"/>
      <c r="H32" s="4">
        <f t="shared" si="87"/>
        <v>0</v>
      </c>
      <c r="I32" s="4">
        <v>49700000</v>
      </c>
      <c r="J32" s="4"/>
      <c r="K32" s="4">
        <f t="shared" si="88"/>
        <v>49700000</v>
      </c>
      <c r="L32" s="4">
        <f>+'[1]Déficit P&amp;K feb16'!F30</f>
        <v>0</v>
      </c>
      <c r="M32" s="4"/>
      <c r="N32" s="4">
        <f t="shared" si="89"/>
        <v>0</v>
      </c>
      <c r="O32" s="4">
        <f>+'[1]Déficit P&amp;K feb16'!G30</f>
        <v>0</v>
      </c>
      <c r="P32" s="4">
        <v>0</v>
      </c>
      <c r="Q32" s="4">
        <f t="shared" si="90"/>
        <v>0</v>
      </c>
      <c r="R32" s="4">
        <v>0</v>
      </c>
      <c r="S32" s="4">
        <v>0</v>
      </c>
      <c r="T32" s="4">
        <f t="shared" si="91"/>
        <v>0</v>
      </c>
      <c r="U32" s="4">
        <f>+'[1]Déficit P&amp;K feb16'!I30</f>
        <v>0</v>
      </c>
      <c r="V32" s="4">
        <v>0</v>
      </c>
      <c r="W32" s="4">
        <f t="shared" si="92"/>
        <v>0</v>
      </c>
      <c r="X32" s="4">
        <f>+'[1]Déficit P&amp;K feb16'!J30</f>
        <v>0</v>
      </c>
      <c r="Y32" s="4"/>
      <c r="Z32" s="4">
        <f t="shared" si="93"/>
        <v>0</v>
      </c>
      <c r="AA32" s="4">
        <f>+'[1]Déficit P&amp;K feb16'!K30</f>
        <v>0</v>
      </c>
      <c r="AB32" s="4"/>
      <c r="AC32" s="4">
        <f t="shared" si="94"/>
        <v>0</v>
      </c>
      <c r="AD32" s="4">
        <v>0</v>
      </c>
      <c r="AE32" s="4"/>
      <c r="AF32" s="4">
        <f t="shared" si="95"/>
        <v>0</v>
      </c>
      <c r="AG32" s="4">
        <f>+'[1]Déficit P&amp;K feb16'!M30</f>
        <v>0</v>
      </c>
      <c r="AH32" s="4">
        <v>0</v>
      </c>
      <c r="AI32" s="4">
        <f t="shared" si="96"/>
        <v>0</v>
      </c>
      <c r="AJ32" s="4">
        <f>+'[1]Déficit P&amp;K feb16'!N30</f>
        <v>0</v>
      </c>
      <c r="AK32" s="4">
        <v>0</v>
      </c>
      <c r="AL32" s="4">
        <f t="shared" si="97"/>
        <v>0</v>
      </c>
      <c r="AM32" s="4">
        <f t="shared" si="100"/>
        <v>49700000</v>
      </c>
      <c r="AN32" s="4">
        <f t="shared" si="98"/>
        <v>0</v>
      </c>
      <c r="AO32" s="4">
        <f t="shared" si="99"/>
        <v>49700000</v>
      </c>
      <c r="AP32" s="21">
        <f t="shared" ref="AP32:AP34" si="101">+AO32/AM32</f>
        <v>1</v>
      </c>
      <c r="AQ32" s="38"/>
      <c r="AR32" s="39"/>
      <c r="AS32" s="39"/>
      <c r="AT32" s="39"/>
    </row>
    <row r="33" spans="1:46" x14ac:dyDescent="0.25">
      <c r="A33" s="5" t="s">
        <v>87</v>
      </c>
      <c r="B33" s="4">
        <f t="shared" si="85"/>
        <v>60905999.999999993</v>
      </c>
      <c r="C33" s="4">
        <v>0</v>
      </c>
      <c r="D33" s="4">
        <v>0</v>
      </c>
      <c r="E33" s="4">
        <f t="shared" si="86"/>
        <v>0</v>
      </c>
      <c r="F33" s="4">
        <v>60905999.999999993</v>
      </c>
      <c r="G33" s="4"/>
      <c r="H33" s="4">
        <f t="shared" si="87"/>
        <v>60905999.999999993</v>
      </c>
      <c r="I33" s="4">
        <v>0</v>
      </c>
      <c r="J33" s="4"/>
      <c r="K33" s="4">
        <f t="shared" si="88"/>
        <v>0</v>
      </c>
      <c r="L33" s="4">
        <f>+'[1]Déficit P&amp;K feb16'!F31</f>
        <v>0</v>
      </c>
      <c r="M33" s="4"/>
      <c r="N33" s="4">
        <f t="shared" si="89"/>
        <v>0</v>
      </c>
      <c r="O33" s="4">
        <f>+'[1]Déficit P&amp;K feb16'!G31</f>
        <v>0</v>
      </c>
      <c r="P33" s="4">
        <v>0</v>
      </c>
      <c r="Q33" s="4">
        <f t="shared" si="90"/>
        <v>0</v>
      </c>
      <c r="R33" s="4">
        <v>0</v>
      </c>
      <c r="S33" s="4">
        <v>0</v>
      </c>
      <c r="T33" s="4">
        <f t="shared" si="91"/>
        <v>0</v>
      </c>
      <c r="U33" s="4">
        <f>+'[1]Déficit P&amp;K feb16'!I31</f>
        <v>0</v>
      </c>
      <c r="V33" s="4">
        <v>0</v>
      </c>
      <c r="W33" s="4">
        <f t="shared" si="92"/>
        <v>0</v>
      </c>
      <c r="X33" s="4">
        <f>+'[1]Déficit P&amp;K feb16'!J31</f>
        <v>0</v>
      </c>
      <c r="Y33" s="4">
        <v>58135500</v>
      </c>
      <c r="Z33" s="4">
        <f t="shared" si="93"/>
        <v>-58135500</v>
      </c>
      <c r="AA33" s="4">
        <f>+'[1]Déficit P&amp;K feb16'!K31</f>
        <v>0</v>
      </c>
      <c r="AB33" s="4"/>
      <c r="AC33" s="4">
        <f t="shared" si="94"/>
        <v>0</v>
      </c>
      <c r="AD33" s="4">
        <v>0</v>
      </c>
      <c r="AE33" s="4"/>
      <c r="AF33" s="4">
        <f t="shared" si="95"/>
        <v>0</v>
      </c>
      <c r="AG33" s="4">
        <f>+'[1]Déficit P&amp;K feb16'!M31</f>
        <v>0</v>
      </c>
      <c r="AH33" s="4">
        <v>0</v>
      </c>
      <c r="AI33" s="4">
        <f t="shared" si="96"/>
        <v>0</v>
      </c>
      <c r="AJ33" s="4">
        <f>+'[1]Déficit P&amp;K feb16'!N31</f>
        <v>0</v>
      </c>
      <c r="AK33" s="4">
        <v>0</v>
      </c>
      <c r="AL33" s="4">
        <f t="shared" si="97"/>
        <v>0</v>
      </c>
      <c r="AM33" s="4">
        <f t="shared" si="100"/>
        <v>60905999.999999993</v>
      </c>
      <c r="AN33" s="4">
        <f t="shared" si="98"/>
        <v>58135500</v>
      </c>
      <c r="AO33" s="4">
        <f t="shared" si="99"/>
        <v>2770499.9999999925</v>
      </c>
      <c r="AP33" s="21">
        <f t="shared" si="101"/>
        <v>4.5488129248349801E-2</v>
      </c>
      <c r="AQ33" s="38"/>
      <c r="AR33" s="39"/>
      <c r="AS33" s="39"/>
      <c r="AT33" s="39"/>
    </row>
    <row r="34" spans="1:46" x14ac:dyDescent="0.25">
      <c r="A34" s="5" t="s">
        <v>91</v>
      </c>
      <c r="B34" s="4">
        <f t="shared" si="85"/>
        <v>67500000</v>
      </c>
      <c r="C34" s="4">
        <v>0</v>
      </c>
      <c r="D34" s="4">
        <v>1060000</v>
      </c>
      <c r="E34" s="4">
        <f t="shared" si="86"/>
        <v>-1060000</v>
      </c>
      <c r="F34" s="4"/>
      <c r="G34" s="4"/>
      <c r="H34" s="4">
        <f t="shared" si="87"/>
        <v>0</v>
      </c>
      <c r="I34" s="4">
        <v>6000000</v>
      </c>
      <c r="J34" s="4"/>
      <c r="K34" s="4">
        <f t="shared" si="88"/>
        <v>6000000</v>
      </c>
      <c r="L34" s="4">
        <f>+'[1]Déficit P&amp;K feb16'!F32</f>
        <v>13500000</v>
      </c>
      <c r="M34" s="4">
        <v>2620000</v>
      </c>
      <c r="N34" s="4">
        <f t="shared" si="89"/>
        <v>10880000</v>
      </c>
      <c r="O34" s="4">
        <f>+'[1]Déficit P&amp;K feb16'!G32</f>
        <v>6000000</v>
      </c>
      <c r="P34" s="4">
        <v>0</v>
      </c>
      <c r="Q34" s="4">
        <f t="shared" si="90"/>
        <v>6000000</v>
      </c>
      <c r="R34" s="4">
        <v>6000000</v>
      </c>
      <c r="S34" s="4">
        <v>0</v>
      </c>
      <c r="T34" s="4">
        <f t="shared" si="91"/>
        <v>6000000</v>
      </c>
      <c r="U34" s="4">
        <f>+'[1]Déficit P&amp;K feb16'!I32</f>
        <v>6000000</v>
      </c>
      <c r="V34" s="4">
        <v>0</v>
      </c>
      <c r="W34" s="4">
        <f t="shared" si="92"/>
        <v>6000000</v>
      </c>
      <c r="X34" s="4">
        <f>+'[1]Déficit P&amp;K feb16'!J32</f>
        <v>6000000</v>
      </c>
      <c r="Y34" s="4">
        <v>3780000</v>
      </c>
      <c r="Z34" s="4">
        <f t="shared" si="93"/>
        <v>2220000</v>
      </c>
      <c r="AA34" s="4">
        <f>+'[1]Déficit P&amp;K feb16'!K32</f>
        <v>6000000</v>
      </c>
      <c r="AB34" s="4"/>
      <c r="AC34" s="4">
        <f t="shared" si="94"/>
        <v>6000000</v>
      </c>
      <c r="AD34" s="4">
        <v>6000000</v>
      </c>
      <c r="AE34" s="4">
        <f>1310000+2018000+799600</f>
        <v>4127600</v>
      </c>
      <c r="AF34" s="4">
        <f t="shared" si="95"/>
        <v>1872400</v>
      </c>
      <c r="AG34" s="4">
        <f>+'[1]Déficit P&amp;K feb16'!M32</f>
        <v>6000000</v>
      </c>
      <c r="AH34" s="4">
        <v>0</v>
      </c>
      <c r="AI34" s="4">
        <f t="shared" si="96"/>
        <v>6000000</v>
      </c>
      <c r="AJ34" s="4">
        <f>+'[1]Déficit P&amp;K feb16'!N32</f>
        <v>6000000</v>
      </c>
      <c r="AK34" s="4">
        <v>7862014.3499999996</v>
      </c>
      <c r="AL34" s="4">
        <f t="shared" si="97"/>
        <v>-1862014.3499999996</v>
      </c>
      <c r="AM34" s="4">
        <f t="shared" si="100"/>
        <v>67500000</v>
      </c>
      <c r="AN34" s="4">
        <f t="shared" si="98"/>
        <v>19449614.350000001</v>
      </c>
      <c r="AO34" s="4">
        <f>+AM34-AN34</f>
        <v>48050385.649999999</v>
      </c>
      <c r="AP34" s="21">
        <f t="shared" si="101"/>
        <v>0.71185756518518517</v>
      </c>
      <c r="AQ34" s="38"/>
      <c r="AR34" s="39"/>
      <c r="AS34" s="39"/>
      <c r="AT34" s="39"/>
    </row>
    <row r="35" spans="1:46" x14ac:dyDescent="0.25">
      <c r="A35" s="13" t="s">
        <v>79</v>
      </c>
      <c r="B35" s="7">
        <f>SUM(B25:B34)</f>
        <v>2905171123.0463991</v>
      </c>
      <c r="C35" s="7">
        <f t="shared" ref="C35:G35" si="102">SUM(C25:C34)</f>
        <v>299503239.74319947</v>
      </c>
      <c r="D35" s="7">
        <f>SUM(D25:D34)</f>
        <v>171956480</v>
      </c>
      <c r="E35" s="7">
        <f>SUM(E25:E34)</f>
        <v>127546759.74319951</v>
      </c>
      <c r="F35" s="7">
        <f>SUM(F25:F34)</f>
        <v>279698328.13</v>
      </c>
      <c r="G35" s="7">
        <f t="shared" si="102"/>
        <v>253072004</v>
      </c>
      <c r="H35" s="7">
        <f>SUM(H25:H34)</f>
        <v>26626324.129999988</v>
      </c>
      <c r="I35" s="7">
        <f t="shared" ref="I35:J35" si="103">SUM(I25:I34)</f>
        <v>756544154.23975265</v>
      </c>
      <c r="J35" s="7">
        <f t="shared" si="103"/>
        <v>200075699</v>
      </c>
      <c r="K35" s="7">
        <f>SUM(K25:K34)</f>
        <v>556468455.23975265</v>
      </c>
      <c r="L35" s="7">
        <f t="shared" ref="L35:M35" si="104">SUM(L25:L34)</f>
        <v>232138767.43704966</v>
      </c>
      <c r="M35" s="7">
        <f t="shared" si="104"/>
        <v>176447307</v>
      </c>
      <c r="N35" s="7">
        <f>SUM(N25:N34)</f>
        <v>55691460.437049665</v>
      </c>
      <c r="O35" s="7">
        <f t="shared" ref="O35:P35" si="105">SUM(O25:O34)</f>
        <v>172908567.43704966</v>
      </c>
      <c r="P35" s="7">
        <f t="shared" si="105"/>
        <v>241241080</v>
      </c>
      <c r="Q35" s="7">
        <f>SUM(Q25:Q34)</f>
        <v>-68332512.562950343</v>
      </c>
      <c r="R35" s="7">
        <f t="shared" ref="R35:T35" si="106">SUM(R25:R34)</f>
        <v>174938767.43704966</v>
      </c>
      <c r="S35" s="7">
        <f t="shared" si="106"/>
        <v>164492793.01999998</v>
      </c>
      <c r="T35" s="7">
        <f t="shared" si="106"/>
        <v>10445974.417049665</v>
      </c>
      <c r="U35" s="7">
        <f t="shared" ref="U35:W35" si="107">SUM(U25:U34)</f>
        <v>166666056.43704969</v>
      </c>
      <c r="V35" s="7">
        <f t="shared" si="107"/>
        <v>166567838.98000002</v>
      </c>
      <c r="W35" s="7">
        <f t="shared" si="107"/>
        <v>98217.457049690187</v>
      </c>
      <c r="X35" s="7">
        <f t="shared" ref="X35:AC35" si="108">SUM(X25:X34)</f>
        <v>164635856.43704969</v>
      </c>
      <c r="Y35" s="7">
        <f t="shared" si="108"/>
        <v>408558322</v>
      </c>
      <c r="Z35" s="7">
        <f t="shared" si="108"/>
        <v>-243922465.56295031</v>
      </c>
      <c r="AA35" s="7">
        <f t="shared" si="108"/>
        <v>164635856.43704969</v>
      </c>
      <c r="AB35" s="7">
        <f t="shared" si="108"/>
        <v>213654916</v>
      </c>
      <c r="AC35" s="7">
        <f t="shared" si="108"/>
        <v>-49019059.562950313</v>
      </c>
      <c r="AD35" s="7">
        <f t="shared" ref="AD35:AF35" si="109">SUM(AD25:AD34)</f>
        <v>164635856.43704969</v>
      </c>
      <c r="AE35" s="7">
        <f t="shared" si="109"/>
        <v>189817275.23000002</v>
      </c>
      <c r="AF35" s="7">
        <f t="shared" si="109"/>
        <v>-25181418.79295031</v>
      </c>
      <c r="AG35" s="7">
        <f t="shared" ref="AG35:AI35" si="110">SUM(AG25:AG34)</f>
        <v>164026796.43704969</v>
      </c>
      <c r="AH35" s="7">
        <f t="shared" si="110"/>
        <v>248209969.33000001</v>
      </c>
      <c r="AI35" s="7">
        <f t="shared" si="110"/>
        <v>-84183172.892950326</v>
      </c>
      <c r="AJ35" s="7">
        <f>SUM(AJ25:AJ34)</f>
        <v>164838876.43704969</v>
      </c>
      <c r="AK35" s="7">
        <f t="shared" ref="AK35" si="111">SUM(AK25:AK34)</f>
        <v>444227333.89999998</v>
      </c>
      <c r="AL35" s="7">
        <f>SUM(AL25:AL34)</f>
        <v>-279388457.46295035</v>
      </c>
      <c r="AM35" s="7">
        <f t="shared" si="100"/>
        <v>2905171123.0464001</v>
      </c>
      <c r="AN35" s="7">
        <f>+D35+G35+J35+M35+P35+S35+V35+Y35+AB35+AE35+AH35+AK35</f>
        <v>2878321018.46</v>
      </c>
      <c r="AO35" s="7">
        <f>+AM35-AN35</f>
        <v>26850104.586400032</v>
      </c>
      <c r="AP35" s="23">
        <f t="shared" ref="AP35:AP87" si="112">+AO35/AM35</f>
        <v>9.2421766048137854E-3</v>
      </c>
      <c r="AQ35" s="41">
        <f>+AL35/AJ35*100</f>
        <v>-169.4918477375366</v>
      </c>
      <c r="AR35" s="39"/>
      <c r="AS35" s="39"/>
      <c r="AT35" s="39"/>
    </row>
    <row r="36" spans="1:46" x14ac:dyDescent="0.25">
      <c r="A36" s="5" t="s">
        <v>81</v>
      </c>
      <c r="B36" s="4">
        <f t="shared" ref="B36:B89" si="113">+AM36</f>
        <v>374527550.9071551</v>
      </c>
      <c r="C36" s="4">
        <v>26758629.242262948</v>
      </c>
      <c r="D36" s="4">
        <v>19596708</v>
      </c>
      <c r="E36" s="4">
        <f t="shared" si="86"/>
        <v>7161921.2422629483</v>
      </c>
      <c r="F36" s="4">
        <v>26758629.242262948</v>
      </c>
      <c r="G36" s="4">
        <v>18899275</v>
      </c>
      <c r="H36" s="4">
        <f t="shared" si="87"/>
        <v>7859354.2422629483</v>
      </c>
      <c r="I36" s="4">
        <v>26758629.242262948</v>
      </c>
      <c r="J36" s="4">
        <v>21334779</v>
      </c>
      <c r="K36" s="4">
        <f t="shared" si="88"/>
        <v>5423850.2422629483</v>
      </c>
      <c r="L36" s="4">
        <f>+'[1]Déficit P&amp;K feb16'!F34</f>
        <v>26758629.242262948</v>
      </c>
      <c r="M36" s="4">
        <f>+[4]Resultados202204!$F$115-M37</f>
        <v>20291623.079999998</v>
      </c>
      <c r="N36" s="4">
        <f t="shared" si="89"/>
        <v>6467006.1622629501</v>
      </c>
      <c r="O36" s="4">
        <f>+'[1]Déficit P&amp;K feb16'!G34</f>
        <v>26758629.242262948</v>
      </c>
      <c r="P36" s="4">
        <f>+[5]Resultados202205!$G$115-13925371-2695000</f>
        <v>27358858</v>
      </c>
      <c r="Q36" s="4">
        <f t="shared" ref="Q36:Q89" si="114">+O36-P36</f>
        <v>-600228.7577370517</v>
      </c>
      <c r="R36" s="4">
        <v>26758629.242262948</v>
      </c>
      <c r="S36" s="4">
        <f>+[6]Resultados202205!$H$113-12694319</f>
        <v>26023166.140000001</v>
      </c>
      <c r="T36" s="4">
        <f t="shared" ref="T36:T89" si="115">+R36-S36</f>
        <v>735463.10226294771</v>
      </c>
      <c r="U36" s="4">
        <f>+'[1]Déficit P&amp;K feb16'!I34</f>
        <v>35662629.2422629</v>
      </c>
      <c r="V36" s="4">
        <f>26046538.46</f>
        <v>26046538.460000001</v>
      </c>
      <c r="W36" s="4">
        <f t="shared" ref="W36:W89" si="116">+U36-V36</f>
        <v>9616090.782262899</v>
      </c>
      <c r="X36" s="4">
        <f>+'[1]Déficit P&amp;K feb16'!J34</f>
        <v>35662629.2422629</v>
      </c>
      <c r="Y36" s="4">
        <v>26988745</v>
      </c>
      <c r="Z36" s="4">
        <f t="shared" ref="Z36:Z89" si="117">+X36-Y36</f>
        <v>8673884.2422628999</v>
      </c>
      <c r="AA36" s="4">
        <f>+'[1]Déficit P&amp;K feb16'!K34</f>
        <v>35662629.2422629</v>
      </c>
      <c r="AB36" s="4">
        <f>23509348+912564+615214</f>
        <v>25037126</v>
      </c>
      <c r="AC36" s="4">
        <f t="shared" si="94"/>
        <v>10625503.2422629</v>
      </c>
      <c r="AD36" s="4">
        <f>+'[1]Déficit P&amp;K feb16'!N34</f>
        <v>35662629.2422629</v>
      </c>
      <c r="AE36" s="4">
        <v>27893812</v>
      </c>
      <c r="AF36" s="4">
        <f t="shared" ref="AF36:AF89" si="118">+AD36-AE36</f>
        <v>7768817.2422628999</v>
      </c>
      <c r="AG36" s="4">
        <f>+'[1]Déficit P&amp;K feb16'!M34</f>
        <v>35662629.2422629</v>
      </c>
      <c r="AH36" s="4">
        <v>25381181.740000002</v>
      </c>
      <c r="AI36" s="4">
        <f t="shared" ref="AI36:AI89" si="119">+AG36-AH36</f>
        <v>10281447.502262898</v>
      </c>
      <c r="AJ36" s="4">
        <f>+'[1]Déficit P&amp;K feb16'!N34</f>
        <v>35662629.2422629</v>
      </c>
      <c r="AK36" s="4">
        <f>+[12]Resultados202211!$N$116-16298014</f>
        <v>36916471.5</v>
      </c>
      <c r="AL36" s="4">
        <f t="shared" ref="AL36:AL89" si="120">+AJ36-AK36</f>
        <v>-1253842.2577371001</v>
      </c>
      <c r="AM36" s="4">
        <f t="shared" si="98"/>
        <v>374527550.9071551</v>
      </c>
      <c r="AN36" s="4">
        <f t="shared" si="98"/>
        <v>301768283.92000002</v>
      </c>
      <c r="AO36" s="4">
        <f t="shared" ref="AO36:AO88" si="121">+AM36-AN36</f>
        <v>72759266.98715508</v>
      </c>
      <c r="AP36" s="21">
        <f t="shared" si="112"/>
        <v>0.19426946511924836</v>
      </c>
      <c r="AQ36" s="38"/>
      <c r="AR36" s="39"/>
      <c r="AS36" s="39"/>
      <c r="AT36" s="39"/>
    </row>
    <row r="37" spans="1:46" x14ac:dyDescent="0.25">
      <c r="A37" s="5" t="s">
        <v>82</v>
      </c>
      <c r="B37" s="4">
        <f t="shared" si="113"/>
        <v>166273649.77082381</v>
      </c>
      <c r="C37" s="4">
        <v>12262271.980901971</v>
      </c>
      <c r="D37" s="4">
        <v>11673622</v>
      </c>
      <c r="E37" s="4">
        <f t="shared" si="86"/>
        <v>588649.98090197146</v>
      </c>
      <c r="F37" s="4">
        <v>12262271.980901971</v>
      </c>
      <c r="G37" s="4">
        <v>11673622</v>
      </c>
      <c r="H37" s="4">
        <f t="shared" si="87"/>
        <v>588649.98090197146</v>
      </c>
      <c r="I37" s="4">
        <v>12262271.980901971</v>
      </c>
      <c r="J37" s="4">
        <v>13889775</v>
      </c>
      <c r="K37" s="4">
        <f t="shared" si="88"/>
        <v>-1627503.0190980285</v>
      </c>
      <c r="L37" s="4">
        <f>+'[1]Déficit P&amp;K feb16'!F35</f>
        <v>12262271.980901971</v>
      </c>
      <c r="M37" s="4">
        <f>8852882+273119+588942+588942+4240583</f>
        <v>14544468</v>
      </c>
      <c r="N37" s="4">
        <f t="shared" si="89"/>
        <v>-2282196.0190980285</v>
      </c>
      <c r="O37" s="4">
        <f>+'[1]Déficit P&amp;K feb16'!G35</f>
        <v>12262271.980901971</v>
      </c>
      <c r="P37" s="4">
        <v>13925371</v>
      </c>
      <c r="Q37" s="4">
        <f t="shared" si="114"/>
        <v>-1663099.0190980285</v>
      </c>
      <c r="R37" s="4">
        <v>12262271.980901971</v>
      </c>
      <c r="S37" s="4">
        <v>12694319</v>
      </c>
      <c r="T37" s="4">
        <f t="shared" si="115"/>
        <v>-432047.01909802854</v>
      </c>
      <c r="U37" s="4">
        <f>+'[1]Déficit P&amp;K feb16'!I35</f>
        <v>15450002.980901999</v>
      </c>
      <c r="V37" s="4">
        <f>18653033</f>
        <v>18653033</v>
      </c>
      <c r="W37" s="4">
        <f t="shared" si="116"/>
        <v>-3203030.0190980006</v>
      </c>
      <c r="X37" s="4">
        <f>+'[1]Déficit P&amp;K feb16'!J35</f>
        <v>15450002.980901999</v>
      </c>
      <c r="Y37" s="4">
        <v>16838084</v>
      </c>
      <c r="Z37" s="4">
        <f t="shared" si="117"/>
        <v>-1388081.0190980006</v>
      </c>
      <c r="AA37" s="4">
        <f>+'[1]Déficit P&amp;K feb16'!K35</f>
        <v>15450002.980901999</v>
      </c>
      <c r="AB37" s="4">
        <f>14457467+912564+615214</f>
        <v>15985245</v>
      </c>
      <c r="AC37" s="4">
        <f t="shared" si="94"/>
        <v>-535242.0190980006</v>
      </c>
      <c r="AD37" s="4">
        <f>+'[1]Déficit P&amp;K feb16'!N35</f>
        <v>15450002.980901999</v>
      </c>
      <c r="AE37" s="4">
        <f>14472799+4240583</f>
        <v>18713382</v>
      </c>
      <c r="AF37" s="4">
        <f t="shared" si="118"/>
        <v>-3263379.0190980006</v>
      </c>
      <c r="AG37" s="4">
        <f>+'[1]Déficit P&amp;K feb16'!M35</f>
        <v>15450002.980901999</v>
      </c>
      <c r="AH37" s="4">
        <v>15498236</v>
      </c>
      <c r="AI37" s="4">
        <f t="shared" si="119"/>
        <v>-48233.019098000601</v>
      </c>
      <c r="AJ37" s="4">
        <f>+'[1]Déficit P&amp;K feb16'!N35</f>
        <v>15450002.980901999</v>
      </c>
      <c r="AK37" s="4">
        <f>12057431+4240583</f>
        <v>16298014</v>
      </c>
      <c r="AL37" s="4">
        <f t="shared" si="120"/>
        <v>-848011.0190980006</v>
      </c>
      <c r="AM37" s="4">
        <f t="shared" si="98"/>
        <v>166273649.77082381</v>
      </c>
      <c r="AN37" s="4">
        <f t="shared" si="98"/>
        <v>180387171</v>
      </c>
      <c r="AO37" s="4">
        <f t="shared" si="121"/>
        <v>-14113521.229176193</v>
      </c>
      <c r="AP37" s="21">
        <f t="shared" si="112"/>
        <v>-8.4881286052413976E-2</v>
      </c>
      <c r="AQ37" s="38"/>
      <c r="AR37" s="39"/>
      <c r="AS37" s="39"/>
      <c r="AT37" s="39"/>
    </row>
    <row r="38" spans="1:46" x14ac:dyDescent="0.25">
      <c r="A38" s="5" t="s">
        <v>117</v>
      </c>
      <c r="B38" s="4">
        <f t="shared" si="113"/>
        <v>2030199.9999999998</v>
      </c>
      <c r="C38" s="4">
        <v>0</v>
      </c>
      <c r="D38" s="4">
        <v>0</v>
      </c>
      <c r="E38" s="4">
        <f t="shared" si="86"/>
        <v>0</v>
      </c>
      <c r="F38" s="4">
        <v>0</v>
      </c>
      <c r="G38" s="4">
        <v>0</v>
      </c>
      <c r="H38" s="4">
        <f t="shared" si="87"/>
        <v>0</v>
      </c>
      <c r="I38" s="4">
        <v>2030199.9999999998</v>
      </c>
      <c r="J38" s="4"/>
      <c r="K38" s="4">
        <f t="shared" si="88"/>
        <v>2030199.9999999998</v>
      </c>
      <c r="L38" s="4">
        <f>+'[1]Déficit P&amp;K feb16'!F36</f>
        <v>0</v>
      </c>
      <c r="M38" s="4">
        <v>0</v>
      </c>
      <c r="N38" s="4">
        <f t="shared" si="89"/>
        <v>0</v>
      </c>
      <c r="O38" s="4">
        <f>+'[1]Déficit P&amp;K feb16'!G36</f>
        <v>0</v>
      </c>
      <c r="P38" s="4">
        <v>0</v>
      </c>
      <c r="Q38" s="4">
        <f t="shared" si="114"/>
        <v>0</v>
      </c>
      <c r="R38" s="4">
        <v>0</v>
      </c>
      <c r="S38" s="4">
        <v>0</v>
      </c>
      <c r="T38" s="4">
        <f t="shared" si="115"/>
        <v>0</v>
      </c>
      <c r="U38" s="4">
        <f>+'[1]Déficit P&amp;K feb16'!I36</f>
        <v>0</v>
      </c>
      <c r="V38" s="4">
        <v>0</v>
      </c>
      <c r="W38" s="4">
        <f t="shared" si="116"/>
        <v>0</v>
      </c>
      <c r="X38" s="4">
        <f>+'[1]Déficit P&amp;K feb16'!J36</f>
        <v>0</v>
      </c>
      <c r="Y38" s="4"/>
      <c r="Z38" s="4">
        <f t="shared" si="117"/>
        <v>0</v>
      </c>
      <c r="AA38" s="4">
        <f>+'[1]Déficit P&amp;K feb16'!K36</f>
        <v>0</v>
      </c>
      <c r="AB38" s="4">
        <v>0</v>
      </c>
      <c r="AC38" s="4">
        <f t="shared" si="94"/>
        <v>0</v>
      </c>
      <c r="AD38" s="4">
        <f>+'[1]Déficit P&amp;K feb16'!N36</f>
        <v>0</v>
      </c>
      <c r="AE38" s="4">
        <v>289927</v>
      </c>
      <c r="AF38" s="4">
        <f t="shared" si="118"/>
        <v>-289927</v>
      </c>
      <c r="AG38" s="4">
        <f>+'[1]Déficit P&amp;K feb16'!M36</f>
        <v>0</v>
      </c>
      <c r="AH38" s="4"/>
      <c r="AI38" s="4">
        <f t="shared" si="119"/>
        <v>0</v>
      </c>
      <c r="AJ38" s="4">
        <f>+'[1]Déficit P&amp;K feb16'!N36</f>
        <v>0</v>
      </c>
      <c r="AK38" s="4"/>
      <c r="AL38" s="4">
        <f t="shared" si="120"/>
        <v>0</v>
      </c>
      <c r="AM38" s="4">
        <f t="shared" si="98"/>
        <v>2030199.9999999998</v>
      </c>
      <c r="AN38" s="4">
        <f t="shared" si="98"/>
        <v>289927</v>
      </c>
      <c r="AO38" s="4">
        <f t="shared" si="121"/>
        <v>1740272.9999999998</v>
      </c>
      <c r="AP38" s="21">
        <f t="shared" si="112"/>
        <v>0.85719288740025612</v>
      </c>
      <c r="AQ38" s="38"/>
      <c r="AR38" s="39"/>
      <c r="AS38" s="39"/>
      <c r="AT38" s="39"/>
    </row>
    <row r="39" spans="1:46" x14ac:dyDescent="0.25">
      <c r="A39" s="5" t="s">
        <v>17</v>
      </c>
      <c r="B39" s="4">
        <f t="shared" si="113"/>
        <v>15835559.999999998</v>
      </c>
      <c r="C39" s="4">
        <v>1319629.9999999998</v>
      </c>
      <c r="D39" s="4">
        <v>0</v>
      </c>
      <c r="E39" s="4">
        <f t="shared" si="86"/>
        <v>1319629.9999999998</v>
      </c>
      <c r="F39" s="4">
        <v>1319629.9999999998</v>
      </c>
      <c r="G39" s="4">
        <v>0</v>
      </c>
      <c r="H39" s="4">
        <f t="shared" si="87"/>
        <v>1319629.9999999998</v>
      </c>
      <c r="I39" s="4">
        <v>1319629.9999999998</v>
      </c>
      <c r="J39" s="4"/>
      <c r="K39" s="4">
        <f t="shared" si="88"/>
        <v>1319629.9999999998</v>
      </c>
      <c r="L39" s="4">
        <f>+'[1]Déficit P&amp;K feb16'!F37</f>
        <v>1319629.9999999998</v>
      </c>
      <c r="M39" s="4">
        <v>2166000</v>
      </c>
      <c r="N39" s="4">
        <f t="shared" si="89"/>
        <v>-846370.00000000023</v>
      </c>
      <c r="O39" s="4">
        <f>+'[1]Déficit P&amp;K feb16'!G37</f>
        <v>1319629.9999999998</v>
      </c>
      <c r="P39" s="4">
        <v>1444400</v>
      </c>
      <c r="Q39" s="4">
        <f t="shared" si="114"/>
        <v>-124770.00000000023</v>
      </c>
      <c r="R39" s="4">
        <v>1319629.9999999998</v>
      </c>
      <c r="S39" s="4">
        <v>722000</v>
      </c>
      <c r="T39" s="4">
        <f t="shared" si="115"/>
        <v>597629.99999999977</v>
      </c>
      <c r="U39" s="4">
        <f>+'[1]Déficit P&amp;K feb16'!I37</f>
        <v>1319629.9999999998</v>
      </c>
      <c r="V39" s="4">
        <v>722000</v>
      </c>
      <c r="W39" s="4">
        <f t="shared" si="116"/>
        <v>597629.99999999977</v>
      </c>
      <c r="X39" s="4">
        <f>+'[1]Déficit P&amp;K feb16'!J37</f>
        <v>1319629.9999999998</v>
      </c>
      <c r="Y39" s="4">
        <v>722000</v>
      </c>
      <c r="Z39" s="4">
        <f t="shared" si="117"/>
        <v>597629.99999999977</v>
      </c>
      <c r="AA39" s="4">
        <f>+'[1]Déficit P&amp;K feb16'!K37</f>
        <v>1319629.9999999998</v>
      </c>
      <c r="AB39" s="4">
        <v>722000</v>
      </c>
      <c r="AC39" s="4">
        <f t="shared" si="94"/>
        <v>597629.99999999977</v>
      </c>
      <c r="AD39" s="4">
        <f>+'[1]Déficit P&amp;K feb16'!N37</f>
        <v>1319629.9999999998</v>
      </c>
      <c r="AE39" s="4">
        <v>722000.1</v>
      </c>
      <c r="AF39" s="4">
        <f t="shared" si="118"/>
        <v>597629.89999999979</v>
      </c>
      <c r="AG39" s="4">
        <f>+'[1]Déficit P&amp;K feb16'!M37</f>
        <v>1319629.9999999998</v>
      </c>
      <c r="AH39" s="4">
        <v>722000</v>
      </c>
      <c r="AI39" s="4">
        <f t="shared" si="119"/>
        <v>597629.99999999977</v>
      </c>
      <c r="AJ39" s="4">
        <f>+'[1]Déficit P&amp;K feb16'!N37</f>
        <v>1319629.9999999998</v>
      </c>
      <c r="AK39" s="4">
        <f>722000+10224000.5</f>
        <v>10946000.5</v>
      </c>
      <c r="AL39" s="4">
        <f t="shared" si="120"/>
        <v>-9626370.5</v>
      </c>
      <c r="AM39" s="4">
        <f t="shared" si="98"/>
        <v>15835559.999999998</v>
      </c>
      <c r="AN39" s="4">
        <f t="shared" si="98"/>
        <v>18888400.600000001</v>
      </c>
      <c r="AO39" s="4">
        <f t="shared" si="121"/>
        <v>-3052840.6000000034</v>
      </c>
      <c r="AP39" s="21">
        <f t="shared" si="112"/>
        <v>-0.19278387376259531</v>
      </c>
      <c r="AQ39" s="38"/>
      <c r="AR39" s="39"/>
      <c r="AS39" s="39"/>
      <c r="AT39" s="39"/>
    </row>
    <row r="40" spans="1:46" x14ac:dyDescent="0.25">
      <c r="A40" s="5" t="s">
        <v>18</v>
      </c>
      <c r="B40" s="4">
        <f t="shared" si="113"/>
        <v>2111408</v>
      </c>
      <c r="C40" s="4">
        <v>527852</v>
      </c>
      <c r="D40" s="4">
        <v>0</v>
      </c>
      <c r="E40" s="4">
        <f t="shared" si="86"/>
        <v>527852</v>
      </c>
      <c r="F40" s="4">
        <v>0</v>
      </c>
      <c r="G40" s="4">
        <v>0</v>
      </c>
      <c r="H40" s="4">
        <f t="shared" si="87"/>
        <v>0</v>
      </c>
      <c r="I40" s="4">
        <v>0</v>
      </c>
      <c r="J40" s="4"/>
      <c r="K40" s="4">
        <f t="shared" si="88"/>
        <v>0</v>
      </c>
      <c r="L40" s="4">
        <f>+'[1]Déficit P&amp;K feb16'!F38</f>
        <v>527852</v>
      </c>
      <c r="M40" s="4">
        <v>0</v>
      </c>
      <c r="N40" s="4">
        <f t="shared" si="89"/>
        <v>527852</v>
      </c>
      <c r="O40" s="4">
        <f>+'[1]Déficit P&amp;K feb16'!G38</f>
        <v>0</v>
      </c>
      <c r="P40" s="4">
        <v>0</v>
      </c>
      <c r="Q40" s="4">
        <f t="shared" si="114"/>
        <v>0</v>
      </c>
      <c r="R40" s="4">
        <v>0</v>
      </c>
      <c r="S40" s="4">
        <v>0</v>
      </c>
      <c r="T40" s="4">
        <f t="shared" si="115"/>
        <v>0</v>
      </c>
      <c r="U40" s="4">
        <f>+'[1]Déficit P&amp;K feb16'!I38</f>
        <v>527852</v>
      </c>
      <c r="V40" s="4">
        <v>0</v>
      </c>
      <c r="W40" s="4">
        <f t="shared" si="116"/>
        <v>527852</v>
      </c>
      <c r="X40" s="4">
        <f>+'[1]Déficit P&amp;K feb16'!J38</f>
        <v>0</v>
      </c>
      <c r="Y40" s="4"/>
      <c r="Z40" s="4">
        <f t="shared" si="117"/>
        <v>0</v>
      </c>
      <c r="AA40" s="4">
        <f>+'[1]Déficit P&amp;K feb16'!K38</f>
        <v>0</v>
      </c>
      <c r="AB40" s="4"/>
      <c r="AC40" s="4">
        <f t="shared" si="94"/>
        <v>0</v>
      </c>
      <c r="AD40" s="4">
        <v>527852</v>
      </c>
      <c r="AE40" s="4">
        <v>0</v>
      </c>
      <c r="AF40" s="4">
        <f t="shared" si="118"/>
        <v>527852</v>
      </c>
      <c r="AG40" s="4">
        <f>+'[1]Déficit P&amp;K feb16'!M38</f>
        <v>0</v>
      </c>
      <c r="AH40" s="4"/>
      <c r="AI40" s="4">
        <f t="shared" si="119"/>
        <v>0</v>
      </c>
      <c r="AJ40" s="4">
        <f>+'[1]Déficit P&amp;K feb16'!N38</f>
        <v>0</v>
      </c>
      <c r="AK40" s="4">
        <v>0</v>
      </c>
      <c r="AL40" s="4">
        <f t="shared" si="120"/>
        <v>0</v>
      </c>
      <c r="AM40" s="4">
        <f t="shared" si="98"/>
        <v>2111408</v>
      </c>
      <c r="AN40" s="4">
        <f t="shared" si="98"/>
        <v>0</v>
      </c>
      <c r="AO40" s="4">
        <f t="shared" si="121"/>
        <v>2111408</v>
      </c>
      <c r="AP40" s="21">
        <f t="shared" si="112"/>
        <v>1</v>
      </c>
      <c r="AQ40" s="38"/>
      <c r="AR40" s="39"/>
      <c r="AS40" s="39"/>
      <c r="AT40" s="39"/>
    </row>
    <row r="41" spans="1:46" ht="30" x14ac:dyDescent="0.25">
      <c r="A41" s="19" t="s">
        <v>116</v>
      </c>
      <c r="B41" s="4">
        <f t="shared" si="113"/>
        <v>8120799.9999999991</v>
      </c>
      <c r="C41" s="4">
        <v>0</v>
      </c>
      <c r="D41" s="4">
        <v>0</v>
      </c>
      <c r="E41" s="4">
        <f t="shared" si="86"/>
        <v>0</v>
      </c>
      <c r="F41" s="4">
        <v>0</v>
      </c>
      <c r="G41" s="4">
        <v>0</v>
      </c>
      <c r="H41" s="4">
        <f t="shared" si="87"/>
        <v>0</v>
      </c>
      <c r="I41" s="4">
        <v>4060399.9999999995</v>
      </c>
      <c r="J41" s="4"/>
      <c r="K41" s="4">
        <f t="shared" si="88"/>
        <v>4060399.9999999995</v>
      </c>
      <c r="L41" s="4">
        <f>+'[1]Déficit P&amp;K feb16'!F39</f>
        <v>0</v>
      </c>
      <c r="M41" s="4">
        <v>0</v>
      </c>
      <c r="N41" s="4">
        <f t="shared" si="89"/>
        <v>0</v>
      </c>
      <c r="O41" s="4">
        <f>+'[1]Déficit P&amp;K feb16'!G39</f>
        <v>0</v>
      </c>
      <c r="P41" s="4">
        <v>0</v>
      </c>
      <c r="Q41" s="4">
        <f t="shared" si="114"/>
        <v>0</v>
      </c>
      <c r="R41" s="4">
        <v>0</v>
      </c>
      <c r="S41" s="4">
        <v>0</v>
      </c>
      <c r="T41" s="4">
        <f t="shared" si="115"/>
        <v>0</v>
      </c>
      <c r="U41" s="4">
        <f>+'[1]Déficit P&amp;K feb16'!I39</f>
        <v>0</v>
      </c>
      <c r="V41" s="4">
        <v>0</v>
      </c>
      <c r="W41" s="4">
        <f t="shared" si="116"/>
        <v>0</v>
      </c>
      <c r="X41" s="4">
        <f>+'[1]Déficit P&amp;K feb16'!J39</f>
        <v>4060399.9999999995</v>
      </c>
      <c r="Y41" s="4"/>
      <c r="Z41" s="4">
        <f t="shared" si="117"/>
        <v>4060399.9999999995</v>
      </c>
      <c r="AA41" s="4">
        <f>+'[1]Déficit P&amp;K feb16'!K39</f>
        <v>0</v>
      </c>
      <c r="AB41" s="4">
        <v>0</v>
      </c>
      <c r="AC41" s="4">
        <f t="shared" si="94"/>
        <v>0</v>
      </c>
      <c r="AD41" s="4">
        <f>+'[1]Déficit P&amp;K feb16'!N39</f>
        <v>0</v>
      </c>
      <c r="AE41" s="4">
        <v>550000</v>
      </c>
      <c r="AF41" s="4">
        <f t="shared" si="118"/>
        <v>-550000</v>
      </c>
      <c r="AG41" s="4">
        <f>+'[1]Déficit P&amp;K feb16'!M39</f>
        <v>0</v>
      </c>
      <c r="AH41" s="4">
        <f>3512000+1298000.5</f>
        <v>4810000.5</v>
      </c>
      <c r="AI41" s="4">
        <f t="shared" si="119"/>
        <v>-4810000.5</v>
      </c>
      <c r="AJ41" s="4">
        <f>+'[1]Déficit P&amp;K feb16'!N39</f>
        <v>0</v>
      </c>
      <c r="AK41" s="4">
        <f>4148400-2112800+900000+6000000</f>
        <v>8935600</v>
      </c>
      <c r="AL41" s="4">
        <f t="shared" si="120"/>
        <v>-8935600</v>
      </c>
      <c r="AM41" s="4">
        <f t="shared" si="98"/>
        <v>8120799.9999999991</v>
      </c>
      <c r="AN41" s="4">
        <f t="shared" si="98"/>
        <v>14295600.5</v>
      </c>
      <c r="AO41" s="4">
        <f t="shared" si="121"/>
        <v>-6174800.5000000009</v>
      </c>
      <c r="AP41" s="21">
        <f t="shared" si="112"/>
        <v>-0.76036849817751961</v>
      </c>
      <c r="AQ41" s="38"/>
      <c r="AR41" s="39"/>
      <c r="AS41" s="39"/>
      <c r="AT41" s="39"/>
    </row>
    <row r="42" spans="1:46" x14ac:dyDescent="0.25">
      <c r="A42" s="5" t="s">
        <v>19</v>
      </c>
      <c r="B42" s="4">
        <f t="shared" si="113"/>
        <v>131556959.99999999</v>
      </c>
      <c r="C42" s="4">
        <v>10963079.999999998</v>
      </c>
      <c r="D42" s="4">
        <v>7800000</v>
      </c>
      <c r="E42" s="4">
        <f t="shared" si="86"/>
        <v>3163079.9999999981</v>
      </c>
      <c r="F42" s="4">
        <v>10963079.999999998</v>
      </c>
      <c r="G42" s="4">
        <v>1600000</v>
      </c>
      <c r="H42" s="4">
        <f t="shared" si="87"/>
        <v>9363079.9999999981</v>
      </c>
      <c r="I42" s="4">
        <v>10963079.999999998</v>
      </c>
      <c r="J42" s="4">
        <v>15600000</v>
      </c>
      <c r="K42" s="4">
        <f t="shared" si="88"/>
        <v>-4636920.0000000019</v>
      </c>
      <c r="L42" s="4">
        <f>+'[1]Déficit P&amp;K feb16'!F40</f>
        <v>10963079.999999998</v>
      </c>
      <c r="M42" s="4">
        <v>8600000</v>
      </c>
      <c r="N42" s="4">
        <f t="shared" si="89"/>
        <v>2363079.9999999981</v>
      </c>
      <c r="O42" s="4">
        <f>+'[1]Déficit P&amp;K feb16'!G40</f>
        <v>10963079.999999998</v>
      </c>
      <c r="P42" s="4">
        <v>8600000</v>
      </c>
      <c r="Q42" s="4">
        <f t="shared" si="114"/>
        <v>2363079.9999999981</v>
      </c>
      <c r="R42" s="4">
        <v>10963079.999999998</v>
      </c>
      <c r="S42" s="4">
        <v>8600000</v>
      </c>
      <c r="T42" s="4">
        <f t="shared" si="115"/>
        <v>2363079.9999999981</v>
      </c>
      <c r="U42" s="4">
        <f>+'[1]Déficit P&amp;K feb16'!I40</f>
        <v>10963079.999999998</v>
      </c>
      <c r="V42" s="4">
        <v>8600000</v>
      </c>
      <c r="W42" s="4">
        <f t="shared" si="116"/>
        <v>2363079.9999999981</v>
      </c>
      <c r="X42" s="4">
        <f>+'[1]Déficit P&amp;K feb16'!J40</f>
        <v>10963079.999999998</v>
      </c>
      <c r="Y42" s="4">
        <v>8600000</v>
      </c>
      <c r="Z42" s="4">
        <f t="shared" si="117"/>
        <v>2363079.9999999981</v>
      </c>
      <c r="AA42" s="4">
        <f>+'[1]Déficit P&amp;K feb16'!K40</f>
        <v>10963079.999999998</v>
      </c>
      <c r="AB42" s="4">
        <v>10466000</v>
      </c>
      <c r="AC42" s="4">
        <f t="shared" si="94"/>
        <v>497079.99999999814</v>
      </c>
      <c r="AD42" s="4">
        <f>+'[1]Déficit P&amp;K feb16'!N40</f>
        <v>10963079.999999998</v>
      </c>
      <c r="AE42" s="4">
        <f>3466000+7000000</f>
        <v>10466000</v>
      </c>
      <c r="AF42" s="4">
        <f t="shared" si="118"/>
        <v>497079.99999999814</v>
      </c>
      <c r="AG42" s="4">
        <f>+'[1]Déficit P&amp;K feb16'!M40</f>
        <v>10963079.999999998</v>
      </c>
      <c r="AH42" s="4">
        <f>10466000</f>
        <v>10466000</v>
      </c>
      <c r="AI42" s="4">
        <f t="shared" si="119"/>
        <v>497079.99999999814</v>
      </c>
      <c r="AJ42" s="4">
        <f>+'[1]Déficit P&amp;K feb16'!N40</f>
        <v>10963079.999999998</v>
      </c>
      <c r="AK42" s="4">
        <v>12332000</v>
      </c>
      <c r="AL42" s="4">
        <f t="shared" si="120"/>
        <v>-1368920.0000000019</v>
      </c>
      <c r="AM42" s="4">
        <f t="shared" si="98"/>
        <v>131556959.99999999</v>
      </c>
      <c r="AN42" s="4">
        <f t="shared" si="98"/>
        <v>111730000</v>
      </c>
      <c r="AO42" s="4">
        <f t="shared" si="121"/>
        <v>19826959.999999985</v>
      </c>
      <c r="AP42" s="21">
        <f t="shared" si="112"/>
        <v>0.15071008025725122</v>
      </c>
      <c r="AQ42" s="38"/>
      <c r="AR42" s="39"/>
      <c r="AS42" s="39"/>
      <c r="AT42" s="39"/>
    </row>
    <row r="43" spans="1:46" x14ac:dyDescent="0.25">
      <c r="A43" s="5" t="s">
        <v>20</v>
      </c>
      <c r="B43" s="4">
        <f t="shared" si="113"/>
        <v>4060399.9999999995</v>
      </c>
      <c r="C43" s="4">
        <v>0</v>
      </c>
      <c r="D43" s="4">
        <v>0</v>
      </c>
      <c r="E43" s="4">
        <f t="shared" si="86"/>
        <v>0</v>
      </c>
      <c r="F43" s="4">
        <v>2030199.9999999998</v>
      </c>
      <c r="G43" s="4">
        <v>1419384</v>
      </c>
      <c r="H43" s="4">
        <f t="shared" si="87"/>
        <v>610815.99999999977</v>
      </c>
      <c r="I43" s="4">
        <v>0</v>
      </c>
      <c r="J43" s="4"/>
      <c r="K43" s="4">
        <f t="shared" si="88"/>
        <v>0</v>
      </c>
      <c r="L43" s="4">
        <f>+'[1]Déficit P&amp;K feb16'!F41</f>
        <v>0</v>
      </c>
      <c r="M43" s="4">
        <v>0</v>
      </c>
      <c r="N43" s="4">
        <f t="shared" si="89"/>
        <v>0</v>
      </c>
      <c r="O43" s="4">
        <f>+'[1]Déficit P&amp;K feb16'!G41</f>
        <v>0</v>
      </c>
      <c r="P43" s="4">
        <v>0</v>
      </c>
      <c r="Q43" s="4">
        <f t="shared" si="114"/>
        <v>0</v>
      </c>
      <c r="R43" s="4">
        <v>0</v>
      </c>
      <c r="S43" s="4">
        <v>0</v>
      </c>
      <c r="T43" s="4">
        <f t="shared" si="115"/>
        <v>0</v>
      </c>
      <c r="U43" s="4">
        <f>+'[1]Déficit P&amp;K feb16'!I41</f>
        <v>2030199.9999999998</v>
      </c>
      <c r="V43" s="4">
        <v>1143543</v>
      </c>
      <c r="W43" s="4">
        <f t="shared" si="116"/>
        <v>886656.99999999977</v>
      </c>
      <c r="X43" s="4">
        <f>+'[1]Déficit P&amp;K feb16'!J41</f>
        <v>0</v>
      </c>
      <c r="Y43" s="4"/>
      <c r="Z43" s="4">
        <f t="shared" si="117"/>
        <v>0</v>
      </c>
      <c r="AA43" s="4">
        <f>+'[1]Déficit P&amp;K feb16'!K41</f>
        <v>0</v>
      </c>
      <c r="AB43" s="4">
        <v>20168</v>
      </c>
      <c r="AC43" s="4">
        <f t="shared" si="94"/>
        <v>-20168</v>
      </c>
      <c r="AD43" s="4">
        <f>+'[1]Déficit P&amp;K feb16'!N41</f>
        <v>0</v>
      </c>
      <c r="AE43" s="4">
        <v>0</v>
      </c>
      <c r="AF43" s="4">
        <f t="shared" si="118"/>
        <v>0</v>
      </c>
      <c r="AG43" s="4">
        <f>+'[1]Déficit P&amp;K feb16'!M41</f>
        <v>0</v>
      </c>
      <c r="AH43" s="4"/>
      <c r="AI43" s="4">
        <f t="shared" si="119"/>
        <v>0</v>
      </c>
      <c r="AJ43" s="4">
        <f>+'[1]Déficit P&amp;K feb16'!N41</f>
        <v>0</v>
      </c>
      <c r="AK43" s="4">
        <v>0</v>
      </c>
      <c r="AL43" s="4">
        <f t="shared" si="120"/>
        <v>0</v>
      </c>
      <c r="AM43" s="4">
        <f t="shared" si="98"/>
        <v>4060399.9999999995</v>
      </c>
      <c r="AN43" s="4">
        <f t="shared" si="98"/>
        <v>2583095</v>
      </c>
      <c r="AO43" s="4">
        <f t="shared" si="121"/>
        <v>1477304.9999999995</v>
      </c>
      <c r="AP43" s="21">
        <f t="shared" si="112"/>
        <v>0.36383238104620225</v>
      </c>
      <c r="AQ43" s="38"/>
      <c r="AR43" s="39"/>
      <c r="AS43" s="39"/>
      <c r="AT43" s="39"/>
    </row>
    <row r="44" spans="1:46" x14ac:dyDescent="0.25">
      <c r="A44" s="5" t="s">
        <v>21</v>
      </c>
      <c r="B44" s="4">
        <f t="shared" si="113"/>
        <v>25580520</v>
      </c>
      <c r="C44" s="4">
        <v>2131710</v>
      </c>
      <c r="D44" s="4">
        <v>803334</v>
      </c>
      <c r="E44" s="4">
        <f t="shared" si="86"/>
        <v>1328376</v>
      </c>
      <c r="F44" s="4">
        <v>2131710</v>
      </c>
      <c r="G44" s="4">
        <v>848253</v>
      </c>
      <c r="H44" s="4">
        <f t="shared" si="87"/>
        <v>1283457</v>
      </c>
      <c r="I44" s="4">
        <v>2131710</v>
      </c>
      <c r="J44" s="4">
        <v>1375121</v>
      </c>
      <c r="K44" s="4">
        <f t="shared" si="88"/>
        <v>756589</v>
      </c>
      <c r="L44" s="4">
        <f>+'[1]Déficit P&amp;K feb16'!F42</f>
        <v>2131710</v>
      </c>
      <c r="M44" s="4">
        <f>393343.87+646310+205704</f>
        <v>1245357.8700000001</v>
      </c>
      <c r="N44" s="4">
        <f t="shared" si="89"/>
        <v>886352.12999999989</v>
      </c>
      <c r="O44" s="4">
        <f>+'[1]Déficit P&amp;K feb16'!G42</f>
        <v>2131710</v>
      </c>
      <c r="P44" s="4">
        <f>856441+188167.74</f>
        <v>1044608.74</v>
      </c>
      <c r="Q44" s="4">
        <f t="shared" si="114"/>
        <v>1087101.26</v>
      </c>
      <c r="R44" s="4">
        <v>2131710</v>
      </c>
      <c r="S44" s="4">
        <v>926778</v>
      </c>
      <c r="T44" s="4">
        <f t="shared" si="115"/>
        <v>1204932</v>
      </c>
      <c r="U44" s="4">
        <f>+'[1]Déficit P&amp;K feb16'!I42</f>
        <v>2131710</v>
      </c>
      <c r="V44" s="4">
        <v>1140606.75</v>
      </c>
      <c r="W44" s="4">
        <f t="shared" si="116"/>
        <v>991103.25</v>
      </c>
      <c r="X44" s="4">
        <f>+'[1]Déficit P&amp;K feb16'!J42</f>
        <v>2131710</v>
      </c>
      <c r="Y44" s="4">
        <f>188167+885970</f>
        <v>1074137</v>
      </c>
      <c r="Z44" s="4">
        <f t="shared" si="117"/>
        <v>1057573</v>
      </c>
      <c r="AA44" s="4">
        <f>+'[1]Déficit P&amp;K feb16'!K42</f>
        <v>2131710</v>
      </c>
      <c r="AB44" s="4">
        <f>188167+877309</f>
        <v>1065476</v>
      </c>
      <c r="AC44" s="4">
        <f t="shared" si="94"/>
        <v>1066234</v>
      </c>
      <c r="AD44" s="4">
        <f>+'[1]Déficit P&amp;K feb16'!N42</f>
        <v>2131710</v>
      </c>
      <c r="AE44" s="4">
        <f>388167.25+878457</f>
        <v>1266624.25</v>
      </c>
      <c r="AF44" s="4">
        <f t="shared" si="118"/>
        <v>865085.75</v>
      </c>
      <c r="AG44" s="4">
        <f>+'[1]Déficit P&amp;K feb16'!M42</f>
        <v>2131710</v>
      </c>
      <c r="AH44" s="4">
        <f>188167.25+950735-1107</f>
        <v>1137795.25</v>
      </c>
      <c r="AI44" s="4">
        <f t="shared" si="119"/>
        <v>993914.75</v>
      </c>
      <c r="AJ44" s="4">
        <f>+'[1]Déficit P&amp;K feb16'!N42</f>
        <v>2131710</v>
      </c>
      <c r="AK44" s="4">
        <f>188167.25+987634</f>
        <v>1175801.25</v>
      </c>
      <c r="AL44" s="4">
        <f t="shared" si="120"/>
        <v>955908.75</v>
      </c>
      <c r="AM44" s="4">
        <f t="shared" si="98"/>
        <v>25580520</v>
      </c>
      <c r="AN44" s="4">
        <f t="shared" si="98"/>
        <v>13103893.109999999</v>
      </c>
      <c r="AO44" s="4">
        <f t="shared" si="121"/>
        <v>12476626.890000001</v>
      </c>
      <c r="AP44" s="21">
        <f t="shared" si="112"/>
        <v>0.48773937707286641</v>
      </c>
      <c r="AQ44" s="38"/>
      <c r="AR44" s="39"/>
      <c r="AS44" s="39"/>
      <c r="AT44" s="39"/>
    </row>
    <row r="45" spans="1:46" x14ac:dyDescent="0.25">
      <c r="A45" s="5" t="s">
        <v>22</v>
      </c>
      <c r="B45" s="4">
        <f t="shared" si="113"/>
        <v>6598149.9999999991</v>
      </c>
      <c r="C45" s="4">
        <v>0</v>
      </c>
      <c r="D45" s="4">
        <v>0</v>
      </c>
      <c r="E45" s="4">
        <f t="shared" si="86"/>
        <v>0</v>
      </c>
      <c r="F45" s="4">
        <v>0</v>
      </c>
      <c r="G45" s="4">
        <v>0</v>
      </c>
      <c r="H45" s="4">
        <f t="shared" si="87"/>
        <v>0</v>
      </c>
      <c r="I45" s="4">
        <v>0</v>
      </c>
      <c r="J45" s="4"/>
      <c r="K45" s="4">
        <f t="shared" si="88"/>
        <v>0</v>
      </c>
      <c r="L45" s="4">
        <f>+'[1]Déficit P&amp;K feb16'!F43</f>
        <v>0</v>
      </c>
      <c r="M45" s="4">
        <f>2647764+1021944</f>
        <v>3669708</v>
      </c>
      <c r="N45" s="4">
        <f t="shared" si="89"/>
        <v>-3669708</v>
      </c>
      <c r="O45" s="4">
        <f>+'[1]Déficit P&amp;K feb16'!G43</f>
        <v>0</v>
      </c>
      <c r="P45" s="4">
        <v>3669708</v>
      </c>
      <c r="Q45" s="4">
        <f t="shared" si="114"/>
        <v>-3669708</v>
      </c>
      <c r="R45" s="4">
        <v>0</v>
      </c>
      <c r="S45" s="4">
        <v>0</v>
      </c>
      <c r="T45" s="4">
        <f t="shared" si="115"/>
        <v>0</v>
      </c>
      <c r="U45" s="4">
        <f>+'[1]Déficit P&amp;K feb16'!I43</f>
        <v>0</v>
      </c>
      <c r="V45" s="4">
        <f>1019965*2</f>
        <v>2039930</v>
      </c>
      <c r="W45" s="4">
        <f t="shared" si="116"/>
        <v>-2039930</v>
      </c>
      <c r="X45" s="4">
        <f>+'[1]Déficit P&amp;K feb16'!J43</f>
        <v>0</v>
      </c>
      <c r="Y45" s="4">
        <v>2750000</v>
      </c>
      <c r="Z45" s="4">
        <f t="shared" si="117"/>
        <v>-2750000</v>
      </c>
      <c r="AA45" s="4">
        <f>+'[1]Déficit P&amp;K feb16'!K43</f>
        <v>6598149.9999999991</v>
      </c>
      <c r="AB45" s="4">
        <f>200000+385000+330000+220000+85000+270000+1326200</f>
        <v>2816200</v>
      </c>
      <c r="AC45" s="4">
        <f t="shared" si="94"/>
        <v>3781949.9999999991</v>
      </c>
      <c r="AD45" s="4">
        <f>+'[1]Déficit P&amp;K feb16'!N43</f>
        <v>0</v>
      </c>
      <c r="AE45" s="4">
        <f>3296034+100000+926100+1125000</f>
        <v>5447134</v>
      </c>
      <c r="AF45" s="4">
        <f t="shared" si="118"/>
        <v>-5447134</v>
      </c>
      <c r="AG45" s="4">
        <f>+'[1]Déficit P&amp;K feb16'!M43</f>
        <v>0</v>
      </c>
      <c r="AH45" s="4"/>
      <c r="AI45" s="4">
        <f t="shared" si="119"/>
        <v>0</v>
      </c>
      <c r="AJ45" s="4">
        <f>+'[1]Déficit P&amp;K feb16'!N43</f>
        <v>0</v>
      </c>
      <c r="AK45" s="4">
        <f>5080000+1390000+1528000</f>
        <v>7998000</v>
      </c>
      <c r="AL45" s="4">
        <f t="shared" si="120"/>
        <v>-7998000</v>
      </c>
      <c r="AM45" s="4">
        <f t="shared" si="98"/>
        <v>6598149.9999999991</v>
      </c>
      <c r="AN45" s="4">
        <f t="shared" si="98"/>
        <v>28390680</v>
      </c>
      <c r="AO45" s="4">
        <f t="shared" si="121"/>
        <v>-21792530</v>
      </c>
      <c r="AP45" s="21">
        <f t="shared" si="112"/>
        <v>-3.302824276501747</v>
      </c>
      <c r="AQ45" s="38"/>
      <c r="AR45" s="39"/>
      <c r="AS45" s="39"/>
      <c r="AT45" s="39"/>
    </row>
    <row r="46" spans="1:46" ht="45" x14ac:dyDescent="0.25">
      <c r="A46" s="19" t="s">
        <v>23</v>
      </c>
      <c r="B46" s="4">
        <f t="shared" si="113"/>
        <v>1522649.9999999998</v>
      </c>
      <c r="C46" s="4">
        <v>0</v>
      </c>
      <c r="D46" s="4">
        <v>0</v>
      </c>
      <c r="E46" s="4">
        <f t="shared" si="86"/>
        <v>0</v>
      </c>
      <c r="F46" s="4">
        <v>0</v>
      </c>
      <c r="G46" s="4">
        <v>0</v>
      </c>
      <c r="H46" s="4">
        <f t="shared" si="87"/>
        <v>0</v>
      </c>
      <c r="I46" s="4">
        <v>0</v>
      </c>
      <c r="J46" s="4">
        <v>0</v>
      </c>
      <c r="K46" s="4">
        <f t="shared" si="88"/>
        <v>0</v>
      </c>
      <c r="L46" s="4">
        <f>+'[1]Déficit P&amp;K feb16'!F44</f>
        <v>0</v>
      </c>
      <c r="M46" s="4">
        <v>0</v>
      </c>
      <c r="N46" s="4">
        <f t="shared" si="89"/>
        <v>0</v>
      </c>
      <c r="O46" s="4">
        <f>+'[1]Déficit P&amp;K feb16'!G44</f>
        <v>0</v>
      </c>
      <c r="P46" s="4">
        <v>0</v>
      </c>
      <c r="Q46" s="4">
        <f t="shared" si="114"/>
        <v>0</v>
      </c>
      <c r="R46" s="4">
        <v>0</v>
      </c>
      <c r="S46" s="4">
        <v>0</v>
      </c>
      <c r="T46" s="4">
        <f t="shared" si="115"/>
        <v>0</v>
      </c>
      <c r="U46" s="4">
        <f>+'[1]Déficit P&amp;K feb16'!I44</f>
        <v>0</v>
      </c>
      <c r="V46" s="4">
        <v>0</v>
      </c>
      <c r="W46" s="4">
        <f t="shared" si="116"/>
        <v>0</v>
      </c>
      <c r="X46" s="4">
        <f>+'[1]Déficit P&amp;K feb16'!J44</f>
        <v>0</v>
      </c>
      <c r="Y46" s="4"/>
      <c r="Z46" s="4">
        <f t="shared" si="117"/>
        <v>0</v>
      </c>
      <c r="AA46" s="4">
        <f>+'[1]Déficit P&amp;K feb16'!K44</f>
        <v>0</v>
      </c>
      <c r="AB46" s="4">
        <v>0</v>
      </c>
      <c r="AC46" s="4">
        <f t="shared" si="94"/>
        <v>0</v>
      </c>
      <c r="AD46" s="4">
        <v>1522649.9999999998</v>
      </c>
      <c r="AE46" s="4">
        <v>586009</v>
      </c>
      <c r="AF46" s="4">
        <f t="shared" si="118"/>
        <v>936640.99999999977</v>
      </c>
      <c r="AG46" s="4">
        <f>+'[1]Déficit P&amp;K feb16'!M44</f>
        <v>0</v>
      </c>
      <c r="AH46" s="4"/>
      <c r="AI46" s="4">
        <f t="shared" si="119"/>
        <v>0</v>
      </c>
      <c r="AJ46" s="4">
        <f>+'[1]Déficit P&amp;K feb16'!N44</f>
        <v>0</v>
      </c>
      <c r="AK46" s="4">
        <v>0</v>
      </c>
      <c r="AL46" s="4">
        <f t="shared" si="120"/>
        <v>0</v>
      </c>
      <c r="AM46" s="4">
        <f t="shared" si="98"/>
        <v>1522649.9999999998</v>
      </c>
      <c r="AN46" s="4">
        <f t="shared" si="98"/>
        <v>586009</v>
      </c>
      <c r="AO46" s="4">
        <f t="shared" si="121"/>
        <v>936640.99999999977</v>
      </c>
      <c r="AP46" s="21">
        <v>0</v>
      </c>
      <c r="AQ46" s="38"/>
      <c r="AR46" s="39"/>
      <c r="AS46" s="39"/>
      <c r="AT46" s="39"/>
    </row>
    <row r="47" spans="1:46" x14ac:dyDescent="0.25">
      <c r="A47" s="5" t="s">
        <v>24</v>
      </c>
      <c r="B47" s="4">
        <f t="shared" si="113"/>
        <v>12000000</v>
      </c>
      <c r="C47" s="4">
        <v>1000000</v>
      </c>
      <c r="D47" s="4">
        <v>1407300</v>
      </c>
      <c r="E47" s="4">
        <f t="shared" si="86"/>
        <v>-407300</v>
      </c>
      <c r="F47" s="4">
        <v>1000000</v>
      </c>
      <c r="G47" s="4">
        <v>0</v>
      </c>
      <c r="H47" s="4">
        <f t="shared" si="87"/>
        <v>1000000</v>
      </c>
      <c r="I47" s="4">
        <v>1000000</v>
      </c>
      <c r="J47" s="4">
        <v>1633500</v>
      </c>
      <c r="K47" s="4">
        <f t="shared" si="88"/>
        <v>-633500</v>
      </c>
      <c r="L47" s="4">
        <f>+'[1]Déficit P&amp;K feb16'!F45</f>
        <v>1000000</v>
      </c>
      <c r="M47" s="4">
        <v>1633500</v>
      </c>
      <c r="N47" s="4">
        <f t="shared" si="89"/>
        <v>-633500</v>
      </c>
      <c r="O47" s="4">
        <f>+'[1]Déficit P&amp;K feb16'!G45</f>
        <v>1000000</v>
      </c>
      <c r="P47" s="4">
        <v>2215000</v>
      </c>
      <c r="Q47" s="4">
        <f t="shared" si="114"/>
        <v>-1215000</v>
      </c>
      <c r="R47" s="4">
        <v>1000000</v>
      </c>
      <c r="S47" s="4">
        <v>6500</v>
      </c>
      <c r="T47" s="4">
        <f t="shared" si="115"/>
        <v>993500</v>
      </c>
      <c r="U47" s="4">
        <f>+'[1]Déficit P&amp;K feb16'!I45</f>
        <v>1000000</v>
      </c>
      <c r="V47" s="4">
        <v>6500</v>
      </c>
      <c r="W47" s="4">
        <f t="shared" si="116"/>
        <v>993500</v>
      </c>
      <c r="X47" s="4">
        <f>+'[1]Déficit P&amp;K feb16'!J45</f>
        <v>1000000</v>
      </c>
      <c r="Y47" s="4">
        <v>12900</v>
      </c>
      <c r="Z47" s="4">
        <f t="shared" si="117"/>
        <v>987100</v>
      </c>
      <c r="AA47" s="4">
        <f>+'[1]Déficit P&amp;K feb16'!K45</f>
        <v>1000000</v>
      </c>
      <c r="AB47" s="4">
        <v>13000</v>
      </c>
      <c r="AC47" s="4">
        <f t="shared" si="94"/>
        <v>987000</v>
      </c>
      <c r="AD47" s="4">
        <f>+'[1]Déficit P&amp;K feb16'!N45</f>
        <v>1000000</v>
      </c>
      <c r="AE47" s="4">
        <v>3442850.25</v>
      </c>
      <c r="AF47" s="4">
        <f t="shared" si="118"/>
        <v>-2442850.25</v>
      </c>
      <c r="AG47" s="4">
        <f>+'[1]Déficit P&amp;K feb16'!M45</f>
        <v>1000000</v>
      </c>
      <c r="AH47" s="4">
        <v>4773700</v>
      </c>
      <c r="AI47" s="4">
        <f t="shared" si="119"/>
        <v>-3773700</v>
      </c>
      <c r="AJ47" s="4">
        <f>+'[1]Déficit P&amp;K feb16'!N45</f>
        <v>1000000</v>
      </c>
      <c r="AK47" s="4">
        <v>12545599.5</v>
      </c>
      <c r="AL47" s="4">
        <f t="shared" si="120"/>
        <v>-11545599.5</v>
      </c>
      <c r="AM47" s="4">
        <f t="shared" si="98"/>
        <v>12000000</v>
      </c>
      <c r="AN47" s="4">
        <f t="shared" si="98"/>
        <v>27690349.75</v>
      </c>
      <c r="AO47" s="4">
        <f t="shared" si="121"/>
        <v>-15690349.75</v>
      </c>
      <c r="AP47" s="21">
        <f t="shared" si="112"/>
        <v>-1.3075291458333334</v>
      </c>
      <c r="AQ47" s="38"/>
      <c r="AR47" s="39"/>
      <c r="AS47" s="39"/>
      <c r="AT47" s="39"/>
    </row>
    <row r="48" spans="1:46" x14ac:dyDescent="0.25">
      <c r="A48" s="5" t="s">
        <v>25</v>
      </c>
      <c r="B48" s="4">
        <f t="shared" si="113"/>
        <v>12000000</v>
      </c>
      <c r="C48" s="4">
        <v>1000000</v>
      </c>
      <c r="D48" s="4">
        <v>4264200</v>
      </c>
      <c r="E48" s="4">
        <f t="shared" si="86"/>
        <v>-3264200</v>
      </c>
      <c r="F48" s="4">
        <v>1000000</v>
      </c>
      <c r="G48" s="4">
        <v>287000</v>
      </c>
      <c r="H48" s="4">
        <f t="shared" si="87"/>
        <v>713000</v>
      </c>
      <c r="I48" s="4">
        <v>1000000</v>
      </c>
      <c r="J48" s="4">
        <v>1536600</v>
      </c>
      <c r="K48" s="4">
        <f t="shared" si="88"/>
        <v>-536600</v>
      </c>
      <c r="L48" s="4">
        <f>+'[1]Déficit P&amp;K feb16'!F46</f>
        <v>1000000</v>
      </c>
      <c r="M48" s="4">
        <v>1830900</v>
      </c>
      <c r="N48" s="4">
        <f t="shared" si="89"/>
        <v>-830900</v>
      </c>
      <c r="O48" s="4">
        <f>+'[1]Déficit P&amp;K feb16'!G46</f>
        <v>1000000</v>
      </c>
      <c r="P48" s="4">
        <v>0</v>
      </c>
      <c r="Q48" s="4">
        <f t="shared" si="114"/>
        <v>1000000</v>
      </c>
      <c r="R48" s="4">
        <v>1000000</v>
      </c>
      <c r="S48" s="4">
        <v>1294500</v>
      </c>
      <c r="T48" s="4">
        <f t="shared" si="115"/>
        <v>-294500</v>
      </c>
      <c r="U48" s="4">
        <f>+'[1]Déficit P&amp;K feb16'!I46</f>
        <v>1000000</v>
      </c>
      <c r="V48" s="4">
        <v>1930500</v>
      </c>
      <c r="W48" s="4">
        <f t="shared" si="116"/>
        <v>-930500</v>
      </c>
      <c r="X48" s="4">
        <f>+'[1]Déficit P&amp;K feb16'!J46</f>
        <v>1000000</v>
      </c>
      <c r="Y48" s="4">
        <v>1614400</v>
      </c>
      <c r="Z48" s="4">
        <f t="shared" si="117"/>
        <v>-614400</v>
      </c>
      <c r="AA48" s="4">
        <f>+'[1]Déficit P&amp;K feb16'!K46</f>
        <v>1000000</v>
      </c>
      <c r="AB48" s="4">
        <v>989000</v>
      </c>
      <c r="AC48" s="4">
        <f t="shared" si="94"/>
        <v>11000</v>
      </c>
      <c r="AD48" s="4">
        <f>+'[1]Déficit P&amp;K feb16'!N46</f>
        <v>1000000</v>
      </c>
      <c r="AE48" s="4">
        <v>268200</v>
      </c>
      <c r="AF48" s="4">
        <f t="shared" si="118"/>
        <v>731800</v>
      </c>
      <c r="AG48" s="4">
        <f>+'[1]Déficit P&amp;K feb16'!M46</f>
        <v>1000000</v>
      </c>
      <c r="AH48" s="4">
        <v>968600</v>
      </c>
      <c r="AI48" s="4">
        <f t="shared" si="119"/>
        <v>31400</v>
      </c>
      <c r="AJ48" s="4">
        <f>+'[1]Déficit P&amp;K feb16'!N46</f>
        <v>1000000</v>
      </c>
      <c r="AK48" s="4">
        <f>375400+2173000</f>
        <v>2548400</v>
      </c>
      <c r="AL48" s="4">
        <f t="shared" si="120"/>
        <v>-1548400</v>
      </c>
      <c r="AM48" s="4">
        <f t="shared" si="98"/>
        <v>12000000</v>
      </c>
      <c r="AN48" s="4">
        <f t="shared" si="98"/>
        <v>17532300</v>
      </c>
      <c r="AO48" s="4">
        <f t="shared" si="121"/>
        <v>-5532300</v>
      </c>
      <c r="AP48" s="21">
        <f t="shared" si="112"/>
        <v>-0.46102500000000002</v>
      </c>
      <c r="AQ48" s="38"/>
      <c r="AR48" s="39"/>
      <c r="AS48" s="39"/>
      <c r="AT48" s="39"/>
    </row>
    <row r="49" spans="1:46" ht="30" x14ac:dyDescent="0.25">
      <c r="A49" s="19" t="s">
        <v>26</v>
      </c>
      <c r="B49" s="4">
        <f t="shared" si="113"/>
        <v>2842279.9999999995</v>
      </c>
      <c r="C49" s="4">
        <v>710569.99999999988</v>
      </c>
      <c r="D49" s="4">
        <v>950000</v>
      </c>
      <c r="E49" s="4">
        <f t="shared" si="86"/>
        <v>-239430.00000000012</v>
      </c>
      <c r="F49" s="4">
        <v>710569.99999999988</v>
      </c>
      <c r="G49" s="4">
        <v>0</v>
      </c>
      <c r="H49" s="4">
        <f t="shared" si="87"/>
        <v>710569.99999999988</v>
      </c>
      <c r="I49" s="4">
        <v>710569.99999999988</v>
      </c>
      <c r="J49" s="4">
        <v>0</v>
      </c>
      <c r="K49" s="4">
        <f t="shared" si="88"/>
        <v>710569.99999999988</v>
      </c>
      <c r="L49" s="4">
        <f>+'[1]Déficit P&amp;K feb16'!F47</f>
        <v>710569.99999999988</v>
      </c>
      <c r="M49" s="4">
        <v>0</v>
      </c>
      <c r="N49" s="4">
        <f t="shared" si="89"/>
        <v>710569.99999999988</v>
      </c>
      <c r="O49" s="4">
        <f>+'[1]Déficit P&amp;K feb16'!G47</f>
        <v>0</v>
      </c>
      <c r="P49" s="4">
        <v>0</v>
      </c>
      <c r="Q49" s="4">
        <f t="shared" si="114"/>
        <v>0</v>
      </c>
      <c r="R49" s="4">
        <v>0</v>
      </c>
      <c r="S49" s="4">
        <v>0</v>
      </c>
      <c r="T49" s="4">
        <f t="shared" si="115"/>
        <v>0</v>
      </c>
      <c r="U49" s="4">
        <f>+'[1]Déficit P&amp;K feb16'!I47</f>
        <v>0</v>
      </c>
      <c r="V49" s="4">
        <v>0</v>
      </c>
      <c r="W49" s="4">
        <f t="shared" si="116"/>
        <v>0</v>
      </c>
      <c r="X49" s="4">
        <f>+'[1]Déficit P&amp;K feb16'!J47</f>
        <v>0</v>
      </c>
      <c r="Y49" s="4"/>
      <c r="Z49" s="4">
        <f t="shared" si="117"/>
        <v>0</v>
      </c>
      <c r="AA49" s="4">
        <f>+'[1]Déficit P&amp;K feb16'!K47</f>
        <v>0</v>
      </c>
      <c r="AB49" s="4">
        <v>255000</v>
      </c>
      <c r="AC49" s="4">
        <f t="shared" si="94"/>
        <v>-255000</v>
      </c>
      <c r="AD49" s="4">
        <f>+'[1]Déficit P&amp;K feb16'!N47</f>
        <v>0</v>
      </c>
      <c r="AE49" s="4">
        <v>0</v>
      </c>
      <c r="AF49" s="4">
        <f t="shared" si="118"/>
        <v>0</v>
      </c>
      <c r="AG49" s="4">
        <f>+'[1]Déficit P&amp;K feb16'!M47</f>
        <v>0</v>
      </c>
      <c r="AH49" s="4"/>
      <c r="AI49" s="4">
        <f t="shared" si="119"/>
        <v>0</v>
      </c>
      <c r="AJ49" s="4">
        <f>+'[1]Déficit P&amp;K feb16'!N47</f>
        <v>0</v>
      </c>
      <c r="AK49" s="4"/>
      <c r="AL49" s="4">
        <f t="shared" si="120"/>
        <v>0</v>
      </c>
      <c r="AM49" s="4">
        <f t="shared" si="98"/>
        <v>2842279.9999999995</v>
      </c>
      <c r="AN49" s="4">
        <f t="shared" si="98"/>
        <v>1205000</v>
      </c>
      <c r="AO49" s="4">
        <f t="shared" si="121"/>
        <v>1637279.9999999995</v>
      </c>
      <c r="AP49" s="21">
        <f t="shared" si="112"/>
        <v>0.57604458392558078</v>
      </c>
      <c r="AQ49" s="38"/>
      <c r="AR49" s="39"/>
      <c r="AS49" s="39"/>
      <c r="AT49" s="39"/>
    </row>
    <row r="50" spans="1:46" x14ac:dyDescent="0.25">
      <c r="A50" s="5" t="s">
        <v>27</v>
      </c>
      <c r="B50" s="4">
        <f t="shared" si="113"/>
        <v>9600000</v>
      </c>
      <c r="C50" s="4">
        <v>800000</v>
      </c>
      <c r="D50" s="4">
        <v>510000</v>
      </c>
      <c r="E50" s="4">
        <f t="shared" si="86"/>
        <v>290000</v>
      </c>
      <c r="F50" s="4">
        <v>800000</v>
      </c>
      <c r="G50" s="4">
        <v>928000</v>
      </c>
      <c r="H50" s="4">
        <f t="shared" si="87"/>
        <v>-128000</v>
      </c>
      <c r="I50" s="4">
        <v>800000</v>
      </c>
      <c r="J50" s="4">
        <v>0</v>
      </c>
      <c r="K50" s="4">
        <f t="shared" si="88"/>
        <v>800000</v>
      </c>
      <c r="L50" s="4">
        <f>+'[1]Déficit P&amp;K feb16'!F48</f>
        <v>800000</v>
      </c>
      <c r="M50" s="4">
        <v>162400</v>
      </c>
      <c r="N50" s="4">
        <f t="shared" si="89"/>
        <v>637600</v>
      </c>
      <c r="O50" s="4">
        <f>+'[1]Déficit P&amp;K feb16'!G48</f>
        <v>800000</v>
      </c>
      <c r="P50" s="4">
        <v>344600</v>
      </c>
      <c r="Q50" s="4">
        <f t="shared" si="114"/>
        <v>455400</v>
      </c>
      <c r="R50" s="4">
        <v>800000</v>
      </c>
      <c r="S50" s="4">
        <v>255200</v>
      </c>
      <c r="T50" s="4">
        <f t="shared" si="115"/>
        <v>544800</v>
      </c>
      <c r="U50" s="4">
        <f>+'[1]Déficit P&amp;K feb16'!I48</f>
        <v>800000</v>
      </c>
      <c r="V50" s="4">
        <v>212000</v>
      </c>
      <c r="W50" s="4">
        <f t="shared" si="116"/>
        <v>588000</v>
      </c>
      <c r="X50" s="4">
        <f>+'[1]Déficit P&amp;K feb16'!J48</f>
        <v>800000</v>
      </c>
      <c r="Y50" s="4">
        <v>400000</v>
      </c>
      <c r="Z50" s="4">
        <f t="shared" si="117"/>
        <v>400000</v>
      </c>
      <c r="AA50" s="4">
        <f>+'[1]Déficit P&amp;K feb16'!K48</f>
        <v>800000</v>
      </c>
      <c r="AB50" s="4">
        <v>4816700</v>
      </c>
      <c r="AC50" s="4">
        <f t="shared" si="94"/>
        <v>-4016700</v>
      </c>
      <c r="AD50" s="4">
        <f>+'[1]Déficit P&amp;K feb16'!N48</f>
        <v>800000</v>
      </c>
      <c r="AE50" s="4">
        <v>0</v>
      </c>
      <c r="AF50" s="4">
        <f t="shared" si="118"/>
        <v>800000</v>
      </c>
      <c r="AG50" s="4">
        <f>+'[1]Déficit P&amp;K feb16'!M48</f>
        <v>800000</v>
      </c>
      <c r="AH50" s="4">
        <v>940935.35</v>
      </c>
      <c r="AI50" s="4">
        <f t="shared" si="119"/>
        <v>-140935.34999999998</v>
      </c>
      <c r="AJ50" s="4">
        <f>+'[1]Déficit P&amp;K feb16'!N48</f>
        <v>800000</v>
      </c>
      <c r="AK50" s="4">
        <v>1177400</v>
      </c>
      <c r="AL50" s="4">
        <f t="shared" si="120"/>
        <v>-377400</v>
      </c>
      <c r="AM50" s="4">
        <f t="shared" si="98"/>
        <v>9600000</v>
      </c>
      <c r="AN50" s="4">
        <f t="shared" si="98"/>
        <v>9747235.3499999996</v>
      </c>
      <c r="AO50" s="4">
        <f t="shared" si="121"/>
        <v>-147235.34999999963</v>
      </c>
      <c r="AP50" s="21">
        <f t="shared" si="112"/>
        <v>-1.533701562499996E-2</v>
      </c>
      <c r="AQ50" s="38"/>
      <c r="AR50" s="39"/>
      <c r="AS50" s="39"/>
      <c r="AT50" s="39"/>
    </row>
    <row r="51" spans="1:46" ht="30" x14ac:dyDescent="0.25">
      <c r="A51" s="19" t="s">
        <v>59</v>
      </c>
      <c r="B51" s="4">
        <f t="shared" si="113"/>
        <v>38400000</v>
      </c>
      <c r="C51" s="4">
        <v>3200000</v>
      </c>
      <c r="D51" s="4">
        <v>3731700</v>
      </c>
      <c r="E51" s="4">
        <f t="shared" si="86"/>
        <v>-531700</v>
      </c>
      <c r="F51" s="4">
        <v>3200000</v>
      </c>
      <c r="G51" s="4">
        <v>3731700</v>
      </c>
      <c r="H51" s="4">
        <f t="shared" si="87"/>
        <v>-531700</v>
      </c>
      <c r="I51" s="4">
        <v>3200000</v>
      </c>
      <c r="J51" s="4">
        <v>3731700</v>
      </c>
      <c r="K51" s="4">
        <f t="shared" si="88"/>
        <v>-531700</v>
      </c>
      <c r="L51" s="4">
        <f>+'[1]Déficit P&amp;K feb16'!F49</f>
        <v>3200000</v>
      </c>
      <c r="M51" s="4">
        <v>3731700</v>
      </c>
      <c r="N51" s="4">
        <f t="shared" si="89"/>
        <v>-531700</v>
      </c>
      <c r="O51" s="4">
        <f>+'[1]Déficit P&amp;K feb16'!G49</f>
        <v>3200000</v>
      </c>
      <c r="P51" s="4">
        <v>3731700</v>
      </c>
      <c r="Q51" s="4">
        <f t="shared" si="114"/>
        <v>-531700</v>
      </c>
      <c r="R51" s="4">
        <v>3200000</v>
      </c>
      <c r="S51" s="4">
        <v>3731700</v>
      </c>
      <c r="T51" s="4">
        <f t="shared" si="115"/>
        <v>-531700</v>
      </c>
      <c r="U51" s="4">
        <f>+'[1]Déficit P&amp;K feb16'!I49</f>
        <v>3200000</v>
      </c>
      <c r="V51" s="4">
        <v>7463400</v>
      </c>
      <c r="W51" s="4">
        <f t="shared" si="116"/>
        <v>-4263400</v>
      </c>
      <c r="X51" s="4">
        <f>+'[1]Déficit P&amp;K feb16'!J49</f>
        <v>3200000</v>
      </c>
      <c r="Y51" s="4">
        <v>3731700</v>
      </c>
      <c r="Z51" s="4">
        <f t="shared" si="117"/>
        <v>-531700</v>
      </c>
      <c r="AA51" s="4">
        <f>+'[1]Déficit P&amp;K feb16'!K49</f>
        <v>3200000</v>
      </c>
      <c r="AB51" s="4">
        <v>3731700</v>
      </c>
      <c r="AC51" s="4">
        <f t="shared" si="94"/>
        <v>-531700</v>
      </c>
      <c r="AD51" s="4">
        <f>+'[1]Déficit P&amp;K feb16'!N49</f>
        <v>3200000</v>
      </c>
      <c r="AE51" s="4">
        <v>3731700</v>
      </c>
      <c r="AF51" s="4">
        <f t="shared" si="118"/>
        <v>-531700</v>
      </c>
      <c r="AG51" s="4">
        <f>+'[1]Déficit P&amp;K feb16'!M49</f>
        <v>3200000</v>
      </c>
      <c r="AH51" s="4">
        <v>3731700</v>
      </c>
      <c r="AI51" s="4">
        <f t="shared" si="119"/>
        <v>-531700</v>
      </c>
      <c r="AJ51" s="4">
        <f>+'[1]Déficit P&amp;K feb16'!N49</f>
        <v>3200000</v>
      </c>
      <c r="AK51" s="4">
        <v>3731700</v>
      </c>
      <c r="AL51" s="4">
        <f t="shared" si="120"/>
        <v>-531700</v>
      </c>
      <c r="AM51" s="4">
        <f t="shared" si="98"/>
        <v>38400000</v>
      </c>
      <c r="AN51" s="4">
        <f t="shared" si="98"/>
        <v>48512100</v>
      </c>
      <c r="AO51" s="4">
        <f t="shared" si="121"/>
        <v>-10112100</v>
      </c>
      <c r="AP51" s="21">
        <f t="shared" si="112"/>
        <v>-0.26333593750000001</v>
      </c>
      <c r="AQ51" s="38"/>
      <c r="AR51" s="39"/>
      <c r="AS51" s="39"/>
      <c r="AT51" s="39"/>
    </row>
    <row r="52" spans="1:46" ht="30" x14ac:dyDescent="0.25">
      <c r="A52" s="19" t="s">
        <v>28</v>
      </c>
      <c r="B52" s="4">
        <f t="shared" si="113"/>
        <v>12181199.999999998</v>
      </c>
      <c r="C52" s="4">
        <v>0</v>
      </c>
      <c r="D52" s="4">
        <v>0</v>
      </c>
      <c r="E52" s="4">
        <f t="shared" si="86"/>
        <v>0</v>
      </c>
      <c r="F52" s="4">
        <v>4060399.9999999995</v>
      </c>
      <c r="G52" s="4">
        <v>0</v>
      </c>
      <c r="H52" s="4">
        <f t="shared" si="87"/>
        <v>4060399.9999999995</v>
      </c>
      <c r="I52" s="4">
        <v>4060399.9999999995</v>
      </c>
      <c r="J52" s="4">
        <v>0</v>
      </c>
      <c r="K52" s="4">
        <f t="shared" si="88"/>
        <v>4060399.9999999995</v>
      </c>
      <c r="L52" s="4">
        <f>+'[1]Déficit P&amp;K feb16'!F50</f>
        <v>4060399.9999999995</v>
      </c>
      <c r="M52" s="4">
        <v>0</v>
      </c>
      <c r="N52" s="4">
        <f t="shared" si="89"/>
        <v>4060399.9999999995</v>
      </c>
      <c r="O52" s="4">
        <f>+'[1]Déficit P&amp;K feb16'!G50</f>
        <v>0</v>
      </c>
      <c r="P52" s="4">
        <v>0</v>
      </c>
      <c r="Q52" s="4">
        <f t="shared" si="114"/>
        <v>0</v>
      </c>
      <c r="R52" s="4">
        <v>0</v>
      </c>
      <c r="S52" s="4">
        <v>0</v>
      </c>
      <c r="T52" s="4">
        <f t="shared" si="115"/>
        <v>0</v>
      </c>
      <c r="U52" s="4">
        <f>+'[1]Déficit P&amp;K feb16'!I50</f>
        <v>0</v>
      </c>
      <c r="V52" s="4">
        <v>0</v>
      </c>
      <c r="W52" s="4">
        <f t="shared" si="116"/>
        <v>0</v>
      </c>
      <c r="X52" s="4">
        <f>+'[1]Déficit P&amp;K feb16'!J50</f>
        <v>0</v>
      </c>
      <c r="Y52" s="4"/>
      <c r="Z52" s="4">
        <f t="shared" si="117"/>
        <v>0</v>
      </c>
      <c r="AA52" s="4">
        <f>+'[1]Déficit P&amp;K feb16'!K50</f>
        <v>0</v>
      </c>
      <c r="AB52" s="4">
        <v>0</v>
      </c>
      <c r="AC52" s="4">
        <f t="shared" si="94"/>
        <v>0</v>
      </c>
      <c r="AD52" s="4">
        <f>+'[1]Déficit P&amp;K feb16'!N50</f>
        <v>0</v>
      </c>
      <c r="AE52" s="4">
        <v>0</v>
      </c>
      <c r="AF52" s="4">
        <f t="shared" si="118"/>
        <v>0</v>
      </c>
      <c r="AG52" s="4">
        <f>+'[1]Déficit P&amp;K feb16'!M50</f>
        <v>0</v>
      </c>
      <c r="AH52" s="4"/>
      <c r="AI52" s="4">
        <f t="shared" si="119"/>
        <v>0</v>
      </c>
      <c r="AJ52" s="4">
        <f>+'[1]Déficit P&amp;K feb16'!N50</f>
        <v>0</v>
      </c>
      <c r="AK52" s="4">
        <v>12000000</v>
      </c>
      <c r="AL52" s="4">
        <f t="shared" si="120"/>
        <v>-12000000</v>
      </c>
      <c r="AM52" s="4">
        <f t="shared" si="98"/>
        <v>12181199.999999998</v>
      </c>
      <c r="AN52" s="4">
        <f t="shared" si="98"/>
        <v>12000000</v>
      </c>
      <c r="AO52" s="4">
        <f t="shared" si="121"/>
        <v>181199.99999999814</v>
      </c>
      <c r="AP52" s="21">
        <f t="shared" si="112"/>
        <v>1.4875381735789426E-2</v>
      </c>
      <c r="AQ52" s="38"/>
      <c r="AR52" s="39"/>
      <c r="AS52" s="39"/>
      <c r="AT52" s="39"/>
    </row>
    <row r="53" spans="1:46" x14ac:dyDescent="0.25">
      <c r="A53" s="19" t="s">
        <v>29</v>
      </c>
      <c r="B53" s="4">
        <f t="shared" si="113"/>
        <v>38400000</v>
      </c>
      <c r="C53" s="4">
        <v>3200000</v>
      </c>
      <c r="D53" s="4">
        <v>0</v>
      </c>
      <c r="E53" s="4">
        <f t="shared" si="86"/>
        <v>3200000</v>
      </c>
      <c r="F53" s="4">
        <v>3200000</v>
      </c>
      <c r="G53" s="4">
        <v>6000000</v>
      </c>
      <c r="H53" s="4">
        <f t="shared" si="87"/>
        <v>-2800000</v>
      </c>
      <c r="I53" s="4">
        <v>3200000</v>
      </c>
      <c r="J53" s="4">
        <v>6000000</v>
      </c>
      <c r="K53" s="4">
        <f t="shared" si="88"/>
        <v>-2800000</v>
      </c>
      <c r="L53" s="4">
        <f>+'[1]Déficit P&amp;K feb16'!F51</f>
        <v>3200000</v>
      </c>
      <c r="M53" s="4">
        <v>3600000</v>
      </c>
      <c r="N53" s="4">
        <f t="shared" si="89"/>
        <v>-400000</v>
      </c>
      <c r="O53" s="4">
        <f>+'[1]Déficit P&amp;K feb16'!G51</f>
        <v>3200000</v>
      </c>
      <c r="P53" s="4">
        <v>3150000</v>
      </c>
      <c r="Q53" s="4">
        <f t="shared" si="114"/>
        <v>50000</v>
      </c>
      <c r="R53" s="4">
        <v>3200000</v>
      </c>
      <c r="S53" s="4">
        <v>3150000</v>
      </c>
      <c r="T53" s="4">
        <f t="shared" si="115"/>
        <v>50000</v>
      </c>
      <c r="U53" s="4">
        <f>+'[1]Déficit P&amp;K feb16'!I51</f>
        <v>3200000</v>
      </c>
      <c r="V53" s="4">
        <v>3150000</v>
      </c>
      <c r="W53" s="4">
        <f t="shared" si="116"/>
        <v>50000</v>
      </c>
      <c r="X53" s="4">
        <f>+'[1]Déficit P&amp;K feb16'!J51</f>
        <v>3200000</v>
      </c>
      <c r="Y53" s="4">
        <v>3150000</v>
      </c>
      <c r="Z53" s="4">
        <f t="shared" si="117"/>
        <v>50000</v>
      </c>
      <c r="AA53" s="4">
        <f>+'[1]Déficit P&amp;K feb16'!K51</f>
        <v>3200000</v>
      </c>
      <c r="AB53" s="4">
        <v>3150000</v>
      </c>
      <c r="AC53" s="4">
        <f t="shared" si="94"/>
        <v>50000</v>
      </c>
      <c r="AD53" s="4">
        <f>+'[1]Déficit P&amp;K feb16'!N51</f>
        <v>3200000</v>
      </c>
      <c r="AE53" s="4">
        <v>3570000</v>
      </c>
      <c r="AF53" s="4">
        <f t="shared" si="118"/>
        <v>-370000</v>
      </c>
      <c r="AG53" s="4">
        <f>+'[1]Déficit P&amp;K feb16'!M51</f>
        <v>3200000</v>
      </c>
      <c r="AH53" s="4"/>
      <c r="AI53" s="4">
        <f t="shared" si="119"/>
        <v>3200000</v>
      </c>
      <c r="AJ53" s="4">
        <f>+'[1]Déficit P&amp;K feb16'!N51</f>
        <v>3200000</v>
      </c>
      <c r="AK53" s="4"/>
      <c r="AL53" s="4">
        <f t="shared" si="120"/>
        <v>3200000</v>
      </c>
      <c r="AM53" s="4">
        <f t="shared" si="98"/>
        <v>38400000</v>
      </c>
      <c r="AN53" s="4">
        <f t="shared" si="98"/>
        <v>34920000</v>
      </c>
      <c r="AO53" s="4">
        <f t="shared" si="121"/>
        <v>3480000</v>
      </c>
      <c r="AP53" s="21">
        <f t="shared" si="112"/>
        <v>9.0624999999999997E-2</v>
      </c>
      <c r="AQ53" s="38"/>
      <c r="AR53" s="39"/>
      <c r="AS53" s="39"/>
      <c r="AT53" s="39"/>
    </row>
    <row r="54" spans="1:46" x14ac:dyDescent="0.25">
      <c r="A54" s="5" t="s">
        <v>88</v>
      </c>
      <c r="B54" s="4">
        <f t="shared" si="113"/>
        <v>38400000</v>
      </c>
      <c r="C54" s="4">
        <v>3200000</v>
      </c>
      <c r="D54" s="4">
        <v>0</v>
      </c>
      <c r="E54" s="4">
        <f t="shared" si="86"/>
        <v>3200000</v>
      </c>
      <c r="F54" s="4">
        <v>3200000</v>
      </c>
      <c r="G54" s="4">
        <v>0</v>
      </c>
      <c r="H54" s="4">
        <f t="shared" si="87"/>
        <v>3200000</v>
      </c>
      <c r="I54" s="4">
        <v>3200000</v>
      </c>
      <c r="J54" s="4">
        <v>0</v>
      </c>
      <c r="K54" s="4">
        <f t="shared" si="88"/>
        <v>3200000</v>
      </c>
      <c r="L54" s="4">
        <f>+'[1]Déficit P&amp;K feb16'!F52</f>
        <v>3200000</v>
      </c>
      <c r="M54" s="4">
        <v>0</v>
      </c>
      <c r="N54" s="4">
        <f t="shared" si="89"/>
        <v>3200000</v>
      </c>
      <c r="O54" s="4">
        <f>+'[1]Déficit P&amp;K feb16'!G52</f>
        <v>3200000</v>
      </c>
      <c r="P54" s="4">
        <v>9477000</v>
      </c>
      <c r="Q54" s="4">
        <f t="shared" si="114"/>
        <v>-6277000</v>
      </c>
      <c r="R54" s="4">
        <v>3200000</v>
      </c>
      <c r="S54" s="4">
        <v>3159000</v>
      </c>
      <c r="T54" s="4">
        <f t="shared" si="115"/>
        <v>41000</v>
      </c>
      <c r="U54" s="4">
        <f>+'[1]Déficit P&amp;K feb16'!I52</f>
        <v>3200000</v>
      </c>
      <c r="V54" s="4">
        <v>3159000</v>
      </c>
      <c r="W54" s="4">
        <f t="shared" si="116"/>
        <v>41000</v>
      </c>
      <c r="X54" s="4">
        <f>+'[1]Déficit P&amp;K feb16'!J52</f>
        <v>3200000</v>
      </c>
      <c r="Y54" s="4">
        <v>3159000</v>
      </c>
      <c r="Z54" s="4">
        <f t="shared" si="117"/>
        <v>41000</v>
      </c>
      <c r="AA54" s="4">
        <f>+'[1]Déficit P&amp;K feb16'!K52</f>
        <v>3200000</v>
      </c>
      <c r="AB54" s="4">
        <v>3159000</v>
      </c>
      <c r="AC54" s="4">
        <f t="shared" si="94"/>
        <v>41000</v>
      </c>
      <c r="AD54" s="4">
        <f>+'[1]Déficit P&amp;K feb16'!N52</f>
        <v>3200000</v>
      </c>
      <c r="AE54" s="4">
        <v>3159000</v>
      </c>
      <c r="AF54" s="4">
        <f t="shared" si="118"/>
        <v>41000</v>
      </c>
      <c r="AG54" s="4">
        <f>+'[1]Déficit P&amp;K feb16'!M52</f>
        <v>3200000</v>
      </c>
      <c r="AH54" s="4">
        <v>3159000</v>
      </c>
      <c r="AI54" s="4">
        <f t="shared" si="119"/>
        <v>41000</v>
      </c>
      <c r="AJ54" s="4">
        <f>+'[1]Déficit P&amp;K feb16'!N52</f>
        <v>3200000</v>
      </c>
      <c r="AK54" s="4">
        <v>4738500</v>
      </c>
      <c r="AL54" s="4">
        <f t="shared" si="120"/>
        <v>-1538500</v>
      </c>
      <c r="AM54" s="4">
        <f t="shared" si="98"/>
        <v>38400000</v>
      </c>
      <c r="AN54" s="4">
        <f t="shared" si="98"/>
        <v>33169500</v>
      </c>
      <c r="AO54" s="4">
        <f t="shared" si="121"/>
        <v>5230500</v>
      </c>
      <c r="AP54" s="21">
        <f t="shared" si="112"/>
        <v>0.13621093749999999</v>
      </c>
      <c r="AQ54" s="38"/>
      <c r="AR54" s="39"/>
      <c r="AS54" s="39"/>
      <c r="AT54" s="39"/>
    </row>
    <row r="55" spans="1:46" x14ac:dyDescent="0.25">
      <c r="A55" s="5" t="s">
        <v>30</v>
      </c>
      <c r="B55" s="4">
        <f t="shared" si="113"/>
        <v>38400000</v>
      </c>
      <c r="C55" s="4">
        <v>3200000</v>
      </c>
      <c r="D55" s="4">
        <v>3000000</v>
      </c>
      <c r="E55" s="4">
        <f t="shared" si="86"/>
        <v>200000</v>
      </c>
      <c r="F55" s="4">
        <v>3200000</v>
      </c>
      <c r="G55" s="4">
        <v>3000000</v>
      </c>
      <c r="H55" s="4">
        <f t="shared" si="87"/>
        <v>200000</v>
      </c>
      <c r="I55" s="4">
        <v>3200000</v>
      </c>
      <c r="J55" s="4">
        <v>3000000</v>
      </c>
      <c r="K55" s="4">
        <f t="shared" si="88"/>
        <v>200000</v>
      </c>
      <c r="L55" s="4">
        <f>+'[1]Déficit P&amp;K feb16'!F53</f>
        <v>3200000</v>
      </c>
      <c r="M55" s="4">
        <v>3000000</v>
      </c>
      <c r="N55" s="4">
        <f t="shared" si="89"/>
        <v>200000</v>
      </c>
      <c r="O55" s="4">
        <f>+'[1]Déficit P&amp;K feb16'!G53</f>
        <v>3200000</v>
      </c>
      <c r="P55" s="4">
        <v>3758700</v>
      </c>
      <c r="Q55" s="4">
        <f t="shared" si="114"/>
        <v>-558700</v>
      </c>
      <c r="R55" s="4">
        <v>3200000</v>
      </c>
      <c r="S55" s="4">
        <v>3168000</v>
      </c>
      <c r="T55" s="4">
        <f t="shared" si="115"/>
        <v>32000</v>
      </c>
      <c r="U55" s="4">
        <f>+'[1]Déficit P&amp;K feb16'!I53</f>
        <v>3200000</v>
      </c>
      <c r="V55" s="4">
        <v>3168600</v>
      </c>
      <c r="W55" s="4">
        <f t="shared" si="116"/>
        <v>31400</v>
      </c>
      <c r="X55" s="4">
        <f>+'[1]Déficit P&amp;K feb16'!J53</f>
        <v>3200000</v>
      </c>
      <c r="Y55" s="4">
        <v>3168600</v>
      </c>
      <c r="Z55" s="4">
        <f t="shared" si="117"/>
        <v>31400</v>
      </c>
      <c r="AA55" s="4">
        <f>+'[1]Déficit P&amp;K feb16'!K53</f>
        <v>3200000</v>
      </c>
      <c r="AB55" s="4">
        <v>4752900</v>
      </c>
      <c r="AC55" s="4">
        <f t="shared" si="94"/>
        <v>-1552900</v>
      </c>
      <c r="AD55" s="4">
        <f>+'[1]Déficit P&amp;K feb16'!N53</f>
        <v>3200000</v>
      </c>
      <c r="AE55" s="4">
        <v>3168600</v>
      </c>
      <c r="AF55" s="4">
        <f t="shared" si="118"/>
        <v>31400</v>
      </c>
      <c r="AG55" s="4">
        <f>+'[1]Déficit P&amp;K feb16'!M53</f>
        <v>3200000</v>
      </c>
      <c r="AH55" s="4">
        <v>3168600</v>
      </c>
      <c r="AI55" s="4">
        <f t="shared" si="119"/>
        <v>31400</v>
      </c>
      <c r="AJ55" s="4">
        <f>+'[1]Déficit P&amp;K feb16'!N53</f>
        <v>3200000</v>
      </c>
      <c r="AK55" s="4">
        <v>3168600</v>
      </c>
      <c r="AL55" s="4">
        <f t="shared" si="120"/>
        <v>31400</v>
      </c>
      <c r="AM55" s="4">
        <f t="shared" si="98"/>
        <v>38400000</v>
      </c>
      <c r="AN55" s="4">
        <f t="shared" si="98"/>
        <v>39522600</v>
      </c>
      <c r="AO55" s="4">
        <f t="shared" si="121"/>
        <v>-1122600</v>
      </c>
      <c r="AP55" s="21">
        <f t="shared" si="112"/>
        <v>-2.9234375E-2</v>
      </c>
      <c r="AQ55" s="38"/>
      <c r="AR55" s="39"/>
      <c r="AS55" s="39"/>
      <c r="AT55" s="39"/>
    </row>
    <row r="56" spans="1:46" x14ac:dyDescent="0.25">
      <c r="A56" s="5" t="s">
        <v>31</v>
      </c>
      <c r="B56" s="4">
        <f t="shared" si="113"/>
        <v>4263419.9999999991</v>
      </c>
      <c r="C56" s="4">
        <v>0</v>
      </c>
      <c r="D56" s="4">
        <v>0</v>
      </c>
      <c r="E56" s="4">
        <f t="shared" si="86"/>
        <v>0</v>
      </c>
      <c r="F56" s="4">
        <v>710569.99999999988</v>
      </c>
      <c r="G56" s="4">
        <v>0</v>
      </c>
      <c r="H56" s="4">
        <f t="shared" si="87"/>
        <v>710569.99999999988</v>
      </c>
      <c r="I56" s="4">
        <v>0</v>
      </c>
      <c r="J56" s="4">
        <v>0</v>
      </c>
      <c r="K56" s="4">
        <f t="shared" si="88"/>
        <v>0</v>
      </c>
      <c r="L56" s="4">
        <f>+'[1]Déficit P&amp;K feb16'!F54</f>
        <v>710569.99999999988</v>
      </c>
      <c r="M56" s="4">
        <v>0</v>
      </c>
      <c r="N56" s="4">
        <f t="shared" si="89"/>
        <v>710569.99999999988</v>
      </c>
      <c r="O56" s="4">
        <f>+'[1]Déficit P&amp;K feb16'!G54</f>
        <v>0</v>
      </c>
      <c r="P56" s="4">
        <v>0</v>
      </c>
      <c r="Q56" s="4">
        <f t="shared" si="114"/>
        <v>0</v>
      </c>
      <c r="R56" s="4">
        <v>710569.99999999988</v>
      </c>
      <c r="S56" s="4">
        <v>0</v>
      </c>
      <c r="T56" s="4">
        <f t="shared" si="115"/>
        <v>710569.99999999988</v>
      </c>
      <c r="U56" s="4">
        <f>+'[1]Déficit P&amp;K feb16'!I54</f>
        <v>0</v>
      </c>
      <c r="V56" s="4">
        <v>0</v>
      </c>
      <c r="W56" s="4">
        <f t="shared" si="116"/>
        <v>0</v>
      </c>
      <c r="X56" s="4">
        <f>+'[1]Déficit P&amp;K feb16'!J54</f>
        <v>710569.99999999988</v>
      </c>
      <c r="Y56" s="4"/>
      <c r="Z56" s="4">
        <f t="shared" si="117"/>
        <v>710569.99999999988</v>
      </c>
      <c r="AA56" s="4">
        <f>+'[1]Déficit P&amp;K feb16'!K54</f>
        <v>0</v>
      </c>
      <c r="AB56" s="4">
        <v>0</v>
      </c>
      <c r="AC56" s="4">
        <f t="shared" si="94"/>
        <v>0</v>
      </c>
      <c r="AD56" s="4">
        <f>+'[1]Déficit P&amp;K feb16'!N54</f>
        <v>710569.99999999988</v>
      </c>
      <c r="AE56" s="4">
        <v>0</v>
      </c>
      <c r="AF56" s="4">
        <f t="shared" si="118"/>
        <v>710569.99999999988</v>
      </c>
      <c r="AG56" s="4">
        <f>+'[1]Déficit P&amp;K feb16'!M54</f>
        <v>0</v>
      </c>
      <c r="AH56" s="4"/>
      <c r="AI56" s="4">
        <f t="shared" si="119"/>
        <v>0</v>
      </c>
      <c r="AJ56" s="4">
        <f>+'[1]Déficit P&amp;K feb16'!N54</f>
        <v>710569.99999999988</v>
      </c>
      <c r="AK56" s="4"/>
      <c r="AL56" s="4">
        <f t="shared" si="120"/>
        <v>710569.99999999988</v>
      </c>
      <c r="AM56" s="4">
        <f t="shared" si="98"/>
        <v>4263419.9999999991</v>
      </c>
      <c r="AN56" s="4">
        <f t="shared" si="98"/>
        <v>0</v>
      </c>
      <c r="AO56" s="4">
        <f t="shared" si="121"/>
        <v>4263419.9999999991</v>
      </c>
      <c r="AP56" s="21">
        <f t="shared" si="112"/>
        <v>1</v>
      </c>
      <c r="AQ56" s="38"/>
      <c r="AR56" s="39"/>
      <c r="AS56" s="39"/>
      <c r="AT56" s="39"/>
    </row>
    <row r="57" spans="1:46" x14ac:dyDescent="0.25">
      <c r="A57" s="5" t="s">
        <v>32</v>
      </c>
      <c r="B57" s="4">
        <f t="shared" si="113"/>
        <v>1116610</v>
      </c>
      <c r="C57" s="4">
        <v>0</v>
      </c>
      <c r="D57" s="4">
        <v>0</v>
      </c>
      <c r="E57" s="4">
        <f t="shared" si="86"/>
        <v>0</v>
      </c>
      <c r="F57" s="4">
        <v>0</v>
      </c>
      <c r="G57" s="4">
        <v>0</v>
      </c>
      <c r="H57" s="4">
        <f t="shared" si="87"/>
        <v>0</v>
      </c>
      <c r="I57" s="4">
        <v>0</v>
      </c>
      <c r="J57" s="4">
        <v>0</v>
      </c>
      <c r="K57" s="4">
        <f t="shared" si="88"/>
        <v>0</v>
      </c>
      <c r="L57" s="4">
        <f>+'[1]Déficit P&amp;K feb16'!F55</f>
        <v>0</v>
      </c>
      <c r="M57" s="4">
        <v>0</v>
      </c>
      <c r="N57" s="4">
        <f t="shared" si="89"/>
        <v>0</v>
      </c>
      <c r="O57" s="4">
        <f>+'[1]Déficit P&amp;K feb16'!G55</f>
        <v>0</v>
      </c>
      <c r="P57" s="4">
        <v>0</v>
      </c>
      <c r="Q57" s="4">
        <f t="shared" si="114"/>
        <v>0</v>
      </c>
      <c r="R57" s="4">
        <v>0</v>
      </c>
      <c r="S57" s="4">
        <v>0</v>
      </c>
      <c r="T57" s="4">
        <f t="shared" si="115"/>
        <v>0</v>
      </c>
      <c r="U57" s="4">
        <f>+'[1]Déficit P&amp;K feb16'!I55</f>
        <v>0</v>
      </c>
      <c r="V57" s="4">
        <v>0</v>
      </c>
      <c r="W57" s="4">
        <f t="shared" si="116"/>
        <v>0</v>
      </c>
      <c r="X57" s="4">
        <f>+'[1]Déficit P&amp;K feb16'!J55</f>
        <v>0</v>
      </c>
      <c r="Y57" s="4"/>
      <c r="Z57" s="4">
        <f t="shared" si="117"/>
        <v>0</v>
      </c>
      <c r="AA57" s="4">
        <f>+'[1]Déficit P&amp;K feb16'!K55</f>
        <v>0</v>
      </c>
      <c r="AB57" s="4">
        <v>0</v>
      </c>
      <c r="AC57" s="4">
        <f t="shared" si="94"/>
        <v>0</v>
      </c>
      <c r="AD57" s="4">
        <v>1116610</v>
      </c>
      <c r="AE57" s="4">
        <v>0</v>
      </c>
      <c r="AF57" s="4">
        <f t="shared" si="118"/>
        <v>1116610</v>
      </c>
      <c r="AG57" s="4">
        <f>+'[1]Déficit P&amp;K feb16'!M55</f>
        <v>0</v>
      </c>
      <c r="AH57" s="4"/>
      <c r="AI57" s="4">
        <f t="shared" si="119"/>
        <v>0</v>
      </c>
      <c r="AJ57" s="4">
        <f>+'[1]Déficit P&amp;K feb16'!N55</f>
        <v>0</v>
      </c>
      <c r="AK57" s="4"/>
      <c r="AL57" s="4">
        <f t="shared" si="120"/>
        <v>0</v>
      </c>
      <c r="AM57" s="4">
        <f t="shared" si="98"/>
        <v>1116610</v>
      </c>
      <c r="AN57" s="4">
        <f t="shared" si="98"/>
        <v>0</v>
      </c>
      <c r="AO57" s="4">
        <f t="shared" si="121"/>
        <v>1116610</v>
      </c>
      <c r="AP57" s="21">
        <v>0</v>
      </c>
      <c r="AQ57" s="38"/>
      <c r="AR57" s="39"/>
      <c r="AS57" s="39"/>
      <c r="AT57" s="39"/>
    </row>
    <row r="58" spans="1:46" x14ac:dyDescent="0.25">
      <c r="A58" s="5" t="s">
        <v>33</v>
      </c>
      <c r="B58" s="4">
        <f t="shared" si="113"/>
        <v>3167112</v>
      </c>
      <c r="C58" s="4">
        <v>0</v>
      </c>
      <c r="D58" s="4">
        <v>0</v>
      </c>
      <c r="E58" s="4">
        <f t="shared" si="86"/>
        <v>0</v>
      </c>
      <c r="F58" s="4">
        <v>527852</v>
      </c>
      <c r="G58" s="4">
        <v>0</v>
      </c>
      <c r="H58" s="4">
        <f t="shared" si="87"/>
        <v>527852</v>
      </c>
      <c r="I58" s="4">
        <v>0</v>
      </c>
      <c r="J58" s="4">
        <v>0</v>
      </c>
      <c r="K58" s="4">
        <f t="shared" si="88"/>
        <v>0</v>
      </c>
      <c r="L58" s="4">
        <f>+'[1]Déficit P&amp;K feb16'!F56</f>
        <v>527852</v>
      </c>
      <c r="M58" s="4">
        <v>0</v>
      </c>
      <c r="N58" s="4">
        <f t="shared" si="89"/>
        <v>527852</v>
      </c>
      <c r="O58" s="4">
        <f>+'[1]Déficit P&amp;K feb16'!G56</f>
        <v>0</v>
      </c>
      <c r="P58" s="4">
        <v>0</v>
      </c>
      <c r="Q58" s="4">
        <f t="shared" si="114"/>
        <v>0</v>
      </c>
      <c r="R58" s="4">
        <v>527852</v>
      </c>
      <c r="S58" s="4">
        <v>0</v>
      </c>
      <c r="T58" s="4">
        <f t="shared" si="115"/>
        <v>527852</v>
      </c>
      <c r="U58" s="4">
        <f>+'[1]Déficit P&amp;K feb16'!I56</f>
        <v>0</v>
      </c>
      <c r="V58" s="4">
        <v>0</v>
      </c>
      <c r="W58" s="4">
        <f t="shared" si="116"/>
        <v>0</v>
      </c>
      <c r="X58" s="4">
        <f>+'[1]Déficit P&amp;K feb16'!J56</f>
        <v>527852</v>
      </c>
      <c r="Y58" s="4"/>
      <c r="Z58" s="4">
        <f t="shared" si="117"/>
        <v>527852</v>
      </c>
      <c r="AA58" s="4">
        <f>+'[1]Déficit P&amp;K feb16'!K56</f>
        <v>0</v>
      </c>
      <c r="AB58" s="4">
        <v>0</v>
      </c>
      <c r="AC58" s="4">
        <f t="shared" si="94"/>
        <v>0</v>
      </c>
      <c r="AD58" s="4">
        <f>+'[1]Déficit P&amp;K feb16'!N56</f>
        <v>527852</v>
      </c>
      <c r="AE58" s="4">
        <v>0</v>
      </c>
      <c r="AF58" s="4">
        <f t="shared" si="118"/>
        <v>527852</v>
      </c>
      <c r="AG58" s="4">
        <f>+'[1]Déficit P&amp;K feb16'!M56</f>
        <v>0</v>
      </c>
      <c r="AH58" s="4"/>
      <c r="AI58" s="4">
        <f t="shared" si="119"/>
        <v>0</v>
      </c>
      <c r="AJ58" s="4">
        <f>+'[1]Déficit P&amp;K feb16'!N56</f>
        <v>527852</v>
      </c>
      <c r="AK58" s="4"/>
      <c r="AL58" s="4">
        <f t="shared" si="120"/>
        <v>527852</v>
      </c>
      <c r="AM58" s="4">
        <f t="shared" si="98"/>
        <v>3167112</v>
      </c>
      <c r="AN58" s="4">
        <f t="shared" si="98"/>
        <v>0</v>
      </c>
      <c r="AO58" s="4">
        <f t="shared" si="121"/>
        <v>3167112</v>
      </c>
      <c r="AP58" s="21">
        <f t="shared" si="112"/>
        <v>1</v>
      </c>
      <c r="AQ58" s="38"/>
      <c r="AR58" s="39"/>
      <c r="AS58" s="39"/>
      <c r="AT58" s="39"/>
    </row>
    <row r="59" spans="1:46" x14ac:dyDescent="0.25">
      <c r="A59" s="5" t="s">
        <v>34</v>
      </c>
      <c r="B59" s="4">
        <f t="shared" si="113"/>
        <v>15226499.999999998</v>
      </c>
      <c r="C59" s="4">
        <v>1268874.9999999998</v>
      </c>
      <c r="D59" s="4">
        <v>0</v>
      </c>
      <c r="E59" s="4">
        <f t="shared" si="86"/>
        <v>1268874.9999999998</v>
      </c>
      <c r="F59" s="4">
        <v>1268874.9999999998</v>
      </c>
      <c r="G59" s="4">
        <v>0</v>
      </c>
      <c r="H59" s="4">
        <f t="shared" si="87"/>
        <v>1268874.9999999998</v>
      </c>
      <c r="I59" s="4">
        <v>1268874.9999999998</v>
      </c>
      <c r="J59" s="4">
        <v>0</v>
      </c>
      <c r="K59" s="4">
        <f t="shared" si="88"/>
        <v>1268874.9999999998</v>
      </c>
      <c r="L59" s="4">
        <f>+'[1]Déficit P&amp;K feb16'!F57</f>
        <v>1268874.9999999998</v>
      </c>
      <c r="M59" s="4">
        <v>0</v>
      </c>
      <c r="N59" s="4">
        <f t="shared" si="89"/>
        <v>1268874.9999999998</v>
      </c>
      <c r="O59" s="4">
        <f>+'[1]Déficit P&amp;K feb16'!G57</f>
        <v>1268874.9999999998</v>
      </c>
      <c r="P59" s="4">
        <v>0</v>
      </c>
      <c r="Q59" s="4">
        <f t="shared" si="114"/>
        <v>1268874.9999999998</v>
      </c>
      <c r="R59" s="4">
        <v>1268874.9999999998</v>
      </c>
      <c r="S59" s="4">
        <v>0</v>
      </c>
      <c r="T59" s="4">
        <f t="shared" si="115"/>
        <v>1268874.9999999998</v>
      </c>
      <c r="U59" s="4">
        <f>+'[1]Déficit P&amp;K feb16'!I57</f>
        <v>1268874.9999999998</v>
      </c>
      <c r="V59" s="4">
        <v>0</v>
      </c>
      <c r="W59" s="4">
        <f t="shared" si="116"/>
        <v>1268874.9999999998</v>
      </c>
      <c r="X59" s="4">
        <f>+'[1]Déficit P&amp;K feb16'!J57</f>
        <v>1268874.9999999998</v>
      </c>
      <c r="Y59" s="4"/>
      <c r="Z59" s="4">
        <f t="shared" si="117"/>
        <v>1268874.9999999998</v>
      </c>
      <c r="AA59" s="4">
        <f>+'[1]Déficit P&amp;K feb16'!K57</f>
        <v>1268874.9999999998</v>
      </c>
      <c r="AB59" s="4">
        <v>0</v>
      </c>
      <c r="AC59" s="4">
        <f t="shared" si="94"/>
        <v>1268874.9999999998</v>
      </c>
      <c r="AD59" s="4">
        <f>+'[1]Déficit P&amp;K feb16'!N57</f>
        <v>1268874.9999999998</v>
      </c>
      <c r="AE59" s="4">
        <v>0</v>
      </c>
      <c r="AF59" s="4">
        <f t="shared" si="118"/>
        <v>1268874.9999999998</v>
      </c>
      <c r="AG59" s="4">
        <f>+'[1]Déficit P&amp;K feb16'!M57</f>
        <v>1268874.9999999998</v>
      </c>
      <c r="AH59" s="4"/>
      <c r="AI59" s="4">
        <f t="shared" si="119"/>
        <v>1268874.9999999998</v>
      </c>
      <c r="AJ59" s="4">
        <f>+'[1]Déficit P&amp;K feb16'!N57</f>
        <v>1268874.9999999998</v>
      </c>
      <c r="AK59" s="4"/>
      <c r="AL59" s="4">
        <f t="shared" si="120"/>
        <v>1268874.9999999998</v>
      </c>
      <c r="AM59" s="4">
        <f t="shared" si="98"/>
        <v>15226499.999999998</v>
      </c>
      <c r="AN59" s="4">
        <f t="shared" si="98"/>
        <v>0</v>
      </c>
      <c r="AO59" s="4">
        <f t="shared" si="121"/>
        <v>15226499.999999998</v>
      </c>
      <c r="AP59" s="21">
        <f t="shared" si="112"/>
        <v>1</v>
      </c>
      <c r="AQ59" s="38"/>
      <c r="AR59" s="39"/>
      <c r="AS59" s="39"/>
      <c r="AT59" s="39"/>
    </row>
    <row r="60" spans="1:46" x14ac:dyDescent="0.25">
      <c r="A60" s="5" t="s">
        <v>35</v>
      </c>
      <c r="B60" s="4">
        <f t="shared" si="113"/>
        <v>3837077.9999999995</v>
      </c>
      <c r="C60" s="4">
        <v>319756.49999999994</v>
      </c>
      <c r="D60" s="4">
        <v>0</v>
      </c>
      <c r="E60" s="4">
        <f t="shared" si="86"/>
        <v>319756.49999999994</v>
      </c>
      <c r="F60" s="4">
        <v>319756.49999999994</v>
      </c>
      <c r="G60" s="4">
        <v>0</v>
      </c>
      <c r="H60" s="4">
        <f t="shared" si="87"/>
        <v>319756.49999999994</v>
      </c>
      <c r="I60" s="4">
        <v>319756.49999999994</v>
      </c>
      <c r="J60" s="4">
        <v>0</v>
      </c>
      <c r="K60" s="4">
        <f t="shared" si="88"/>
        <v>319756.49999999994</v>
      </c>
      <c r="L60" s="4">
        <f>+'[1]Déficit P&amp;K feb16'!F58</f>
        <v>319756.49999999994</v>
      </c>
      <c r="M60" s="4">
        <v>0</v>
      </c>
      <c r="N60" s="4">
        <f t="shared" si="89"/>
        <v>319756.49999999994</v>
      </c>
      <c r="O60" s="4">
        <f>+'[1]Déficit P&amp;K feb16'!G58</f>
        <v>319756.49999999994</v>
      </c>
      <c r="P60" s="4">
        <v>0</v>
      </c>
      <c r="Q60" s="4">
        <f t="shared" si="114"/>
        <v>319756.49999999994</v>
      </c>
      <c r="R60" s="4">
        <v>319756.49999999994</v>
      </c>
      <c r="S60" s="4">
        <v>0</v>
      </c>
      <c r="T60" s="4">
        <f t="shared" si="115"/>
        <v>319756.49999999994</v>
      </c>
      <c r="U60" s="4">
        <f>+'[1]Déficit P&amp;K feb16'!I58</f>
        <v>319756.49999999994</v>
      </c>
      <c r="V60" s="4">
        <v>0</v>
      </c>
      <c r="W60" s="4">
        <f t="shared" si="116"/>
        <v>319756.49999999994</v>
      </c>
      <c r="X60" s="4">
        <f>+'[1]Déficit P&amp;K feb16'!J58</f>
        <v>319756.49999999994</v>
      </c>
      <c r="Y60" s="4"/>
      <c r="Z60" s="4">
        <f t="shared" si="117"/>
        <v>319756.49999999994</v>
      </c>
      <c r="AA60" s="4">
        <f>+'[1]Déficit P&amp;K feb16'!K58</f>
        <v>319756.49999999994</v>
      </c>
      <c r="AB60" s="4">
        <v>9841860</v>
      </c>
      <c r="AC60" s="4">
        <f t="shared" si="94"/>
        <v>-9522103.5</v>
      </c>
      <c r="AD60" s="4">
        <f>+'[1]Déficit P&amp;K feb16'!N58</f>
        <v>319756.49999999994</v>
      </c>
      <c r="AE60" s="4">
        <v>0</v>
      </c>
      <c r="AF60" s="4">
        <f t="shared" si="118"/>
        <v>319756.49999999994</v>
      </c>
      <c r="AG60" s="4">
        <f>+'[1]Déficit P&amp;K feb16'!M58</f>
        <v>319756.49999999994</v>
      </c>
      <c r="AH60" s="4"/>
      <c r="AI60" s="4">
        <f t="shared" si="119"/>
        <v>319756.49999999994</v>
      </c>
      <c r="AJ60" s="4">
        <f>+'[1]Déficit P&amp;K feb16'!N58</f>
        <v>319756.49999999994</v>
      </c>
      <c r="AK60" s="4"/>
      <c r="AL60" s="4">
        <f t="shared" si="120"/>
        <v>319756.49999999994</v>
      </c>
      <c r="AM60" s="4">
        <f t="shared" si="98"/>
        <v>3837077.9999999995</v>
      </c>
      <c r="AN60" s="4">
        <f t="shared" si="98"/>
        <v>9841860</v>
      </c>
      <c r="AO60" s="4">
        <f t="shared" si="121"/>
        <v>-6004782</v>
      </c>
      <c r="AP60" s="21">
        <f t="shared" si="112"/>
        <v>-1.5649361310872494</v>
      </c>
      <c r="AQ60" s="38"/>
      <c r="AR60" s="39"/>
      <c r="AS60" s="39"/>
      <c r="AT60" s="39"/>
    </row>
    <row r="61" spans="1:46" x14ac:dyDescent="0.25">
      <c r="A61" s="5" t="s">
        <v>36</v>
      </c>
      <c r="B61" s="4">
        <f t="shared" si="113"/>
        <v>4060399.9999999995</v>
      </c>
      <c r="C61" s="4">
        <v>1015099.9999999999</v>
      </c>
      <c r="D61" s="4">
        <v>0</v>
      </c>
      <c r="E61" s="4">
        <f t="shared" si="86"/>
        <v>1015099.9999999999</v>
      </c>
      <c r="F61" s="4">
        <v>1015099.9999999999</v>
      </c>
      <c r="G61" s="4">
        <v>0</v>
      </c>
      <c r="H61" s="4">
        <f t="shared" si="87"/>
        <v>1015099.9999999999</v>
      </c>
      <c r="I61" s="4">
        <v>1015099.9999999999</v>
      </c>
      <c r="J61" s="4">
        <v>0</v>
      </c>
      <c r="K61" s="4">
        <f t="shared" si="88"/>
        <v>1015099.9999999999</v>
      </c>
      <c r="L61" s="4">
        <f>+'[1]Déficit P&amp;K feb16'!F59</f>
        <v>1015099.9999999999</v>
      </c>
      <c r="M61" s="4">
        <v>0</v>
      </c>
      <c r="N61" s="4">
        <f t="shared" si="89"/>
        <v>1015099.9999999999</v>
      </c>
      <c r="O61" s="4">
        <f>+'[1]Déficit P&amp;K feb16'!G59</f>
        <v>0</v>
      </c>
      <c r="P61" s="4">
        <v>0</v>
      </c>
      <c r="Q61" s="4">
        <f t="shared" si="114"/>
        <v>0</v>
      </c>
      <c r="R61" s="4">
        <v>0</v>
      </c>
      <c r="S61" s="4">
        <v>0</v>
      </c>
      <c r="T61" s="4">
        <f t="shared" si="115"/>
        <v>0</v>
      </c>
      <c r="U61" s="4">
        <f>+'[1]Déficit P&amp;K feb16'!I59</f>
        <v>0</v>
      </c>
      <c r="V61" s="4">
        <v>0</v>
      </c>
      <c r="W61" s="4">
        <f t="shared" si="116"/>
        <v>0</v>
      </c>
      <c r="X61" s="4">
        <f>+'[1]Déficit P&amp;K feb16'!J59</f>
        <v>0</v>
      </c>
      <c r="Y61" s="4"/>
      <c r="Z61" s="4">
        <f t="shared" si="117"/>
        <v>0</v>
      </c>
      <c r="AA61" s="4">
        <f>+'[1]Déficit P&amp;K feb16'!K59</f>
        <v>0</v>
      </c>
      <c r="AB61" s="4">
        <v>0</v>
      </c>
      <c r="AC61" s="4">
        <f t="shared" si="94"/>
        <v>0</v>
      </c>
      <c r="AD61" s="4">
        <f>+'[1]Déficit P&amp;K feb16'!N59</f>
        <v>0</v>
      </c>
      <c r="AE61" s="4">
        <v>0</v>
      </c>
      <c r="AF61" s="4">
        <f t="shared" si="118"/>
        <v>0</v>
      </c>
      <c r="AG61" s="4">
        <f>+'[1]Déficit P&amp;K feb16'!M59</f>
        <v>0</v>
      </c>
      <c r="AH61" s="4"/>
      <c r="AI61" s="4">
        <f t="shared" si="119"/>
        <v>0</v>
      </c>
      <c r="AJ61" s="4">
        <f>+'[1]Déficit P&amp;K feb16'!N59</f>
        <v>0</v>
      </c>
      <c r="AK61" s="4"/>
      <c r="AL61" s="4">
        <f t="shared" si="120"/>
        <v>0</v>
      </c>
      <c r="AM61" s="4">
        <f t="shared" si="98"/>
        <v>4060399.9999999995</v>
      </c>
      <c r="AN61" s="4">
        <f t="shared" si="98"/>
        <v>0</v>
      </c>
      <c r="AO61" s="4">
        <f t="shared" si="121"/>
        <v>4060399.9999999995</v>
      </c>
      <c r="AP61" s="21">
        <f t="shared" si="112"/>
        <v>1</v>
      </c>
      <c r="AQ61" s="38"/>
      <c r="AR61" s="39"/>
      <c r="AS61" s="39"/>
      <c r="AT61" s="39"/>
    </row>
    <row r="62" spans="1:46" x14ac:dyDescent="0.25">
      <c r="A62" s="5" t="s">
        <v>37</v>
      </c>
      <c r="B62" s="4">
        <f t="shared" si="113"/>
        <v>7105699.9999999991</v>
      </c>
      <c r="C62" s="4">
        <v>0</v>
      </c>
      <c r="D62" s="4">
        <v>0</v>
      </c>
      <c r="E62" s="4">
        <f t="shared" si="86"/>
        <v>0</v>
      </c>
      <c r="F62" s="4">
        <v>0</v>
      </c>
      <c r="G62" s="4">
        <v>0</v>
      </c>
      <c r="H62" s="4">
        <f t="shared" si="87"/>
        <v>0</v>
      </c>
      <c r="I62" s="4">
        <v>0</v>
      </c>
      <c r="J62" s="4">
        <v>0</v>
      </c>
      <c r="K62" s="4">
        <f t="shared" si="88"/>
        <v>0</v>
      </c>
      <c r="L62" s="4">
        <f>+'[1]Déficit P&amp;K feb16'!F60</f>
        <v>0</v>
      </c>
      <c r="M62" s="4">
        <v>0</v>
      </c>
      <c r="N62" s="4">
        <f t="shared" si="89"/>
        <v>0</v>
      </c>
      <c r="O62" s="4">
        <f>+'[1]Déficit P&amp;K feb16'!G60</f>
        <v>0</v>
      </c>
      <c r="P62" s="4">
        <v>0</v>
      </c>
      <c r="Q62" s="4">
        <f t="shared" si="114"/>
        <v>0</v>
      </c>
      <c r="R62" s="4">
        <v>0</v>
      </c>
      <c r="S62" s="4">
        <v>0</v>
      </c>
      <c r="T62" s="4">
        <f t="shared" si="115"/>
        <v>0</v>
      </c>
      <c r="U62" s="4">
        <f>+'[1]Déficit P&amp;K feb16'!I60</f>
        <v>0</v>
      </c>
      <c r="V62" s="4">
        <v>0</v>
      </c>
      <c r="W62" s="4">
        <f t="shared" si="116"/>
        <v>0</v>
      </c>
      <c r="X62" s="4">
        <f>+'[1]Déficit P&amp;K feb16'!J60</f>
        <v>0</v>
      </c>
      <c r="Y62" s="4"/>
      <c r="Z62" s="4">
        <f t="shared" si="117"/>
        <v>0</v>
      </c>
      <c r="AA62" s="4">
        <f>+'[1]Déficit P&amp;K feb16'!K60</f>
        <v>0</v>
      </c>
      <c r="AB62" s="4">
        <v>0</v>
      </c>
      <c r="AC62" s="4">
        <f t="shared" si="94"/>
        <v>0</v>
      </c>
      <c r="AD62" s="4">
        <v>0</v>
      </c>
      <c r="AE62" s="4">
        <v>0</v>
      </c>
      <c r="AF62" s="4">
        <f t="shared" si="118"/>
        <v>0</v>
      </c>
      <c r="AG62" s="4">
        <f>+'[1]Déficit P&amp;K feb16'!M60</f>
        <v>3552849.9999999995</v>
      </c>
      <c r="AH62" s="4"/>
      <c r="AI62" s="4">
        <f t="shared" si="119"/>
        <v>3552849.9999999995</v>
      </c>
      <c r="AJ62" s="4">
        <f>+'[1]Déficit P&amp;K feb16'!N60</f>
        <v>3552849.9999999995</v>
      </c>
      <c r="AK62" s="4"/>
      <c r="AL62" s="4">
        <f t="shared" si="120"/>
        <v>3552849.9999999995</v>
      </c>
      <c r="AM62" s="4">
        <f t="shared" si="98"/>
        <v>7105699.9999999991</v>
      </c>
      <c r="AN62" s="4">
        <f t="shared" si="98"/>
        <v>0</v>
      </c>
      <c r="AO62" s="4">
        <f t="shared" si="121"/>
        <v>7105699.9999999991</v>
      </c>
      <c r="AP62" s="21">
        <v>0</v>
      </c>
      <c r="AQ62" s="38"/>
      <c r="AR62" s="39"/>
      <c r="AS62" s="39"/>
      <c r="AT62" s="39"/>
    </row>
    <row r="63" spans="1:46" x14ac:dyDescent="0.25">
      <c r="A63" s="5" t="s">
        <v>38</v>
      </c>
      <c r="B63" s="4">
        <f t="shared" si="113"/>
        <v>5075499.9999999991</v>
      </c>
      <c r="C63" s="4">
        <v>0</v>
      </c>
      <c r="D63" s="4">
        <v>0</v>
      </c>
      <c r="E63" s="4">
        <f t="shared" si="86"/>
        <v>0</v>
      </c>
      <c r="F63" s="4">
        <v>0</v>
      </c>
      <c r="G63" s="4">
        <v>0</v>
      </c>
      <c r="H63" s="4">
        <f t="shared" si="87"/>
        <v>0</v>
      </c>
      <c r="I63" s="4">
        <v>0</v>
      </c>
      <c r="J63" s="4">
        <v>0</v>
      </c>
      <c r="K63" s="4">
        <f t="shared" si="88"/>
        <v>0</v>
      </c>
      <c r="L63" s="4">
        <f>+'[1]Déficit P&amp;K feb16'!F61</f>
        <v>2537749.9999999995</v>
      </c>
      <c r="M63" s="4">
        <v>0</v>
      </c>
      <c r="N63" s="4">
        <f t="shared" si="89"/>
        <v>2537749.9999999995</v>
      </c>
      <c r="O63" s="4">
        <f>+'[1]Déficit P&amp;K feb16'!G61</f>
        <v>2537749.9999999995</v>
      </c>
      <c r="P63" s="4">
        <v>2695000</v>
      </c>
      <c r="Q63" s="4">
        <f t="shared" si="114"/>
        <v>-157250.00000000047</v>
      </c>
      <c r="R63" s="4">
        <v>0</v>
      </c>
      <c r="S63" s="4">
        <v>0</v>
      </c>
      <c r="T63" s="4">
        <f t="shared" si="115"/>
        <v>0</v>
      </c>
      <c r="U63" s="4">
        <f>+'[1]Déficit P&amp;K feb16'!I61</f>
        <v>0</v>
      </c>
      <c r="V63" s="4">
        <v>0</v>
      </c>
      <c r="W63" s="4">
        <f t="shared" si="116"/>
        <v>0</v>
      </c>
      <c r="X63" s="4">
        <f>+'[1]Déficit P&amp;K feb16'!J61</f>
        <v>0</v>
      </c>
      <c r="Y63" s="4"/>
      <c r="Z63" s="4">
        <f t="shared" si="117"/>
        <v>0</v>
      </c>
      <c r="AA63" s="4">
        <f>+'[1]Déficit P&amp;K feb16'!K61</f>
        <v>0</v>
      </c>
      <c r="AB63" s="4">
        <v>0</v>
      </c>
      <c r="AC63" s="4">
        <f t="shared" si="94"/>
        <v>0</v>
      </c>
      <c r="AD63" s="4">
        <f>+'[1]Déficit P&amp;K feb16'!N61</f>
        <v>0</v>
      </c>
      <c r="AE63" s="4">
        <v>0</v>
      </c>
      <c r="AF63" s="4">
        <f t="shared" si="118"/>
        <v>0</v>
      </c>
      <c r="AG63" s="4">
        <f>+'[1]Déficit P&amp;K feb16'!M61</f>
        <v>0</v>
      </c>
      <c r="AH63" s="4"/>
      <c r="AI63" s="4">
        <f t="shared" si="119"/>
        <v>0</v>
      </c>
      <c r="AJ63" s="4">
        <f>+'[1]Déficit P&amp;K feb16'!N61</f>
        <v>0</v>
      </c>
      <c r="AK63" s="4"/>
      <c r="AL63" s="4">
        <f t="shared" si="120"/>
        <v>0</v>
      </c>
      <c r="AM63" s="4">
        <f t="shared" si="98"/>
        <v>5075499.9999999991</v>
      </c>
      <c r="AN63" s="4">
        <f t="shared" si="98"/>
        <v>2695000</v>
      </c>
      <c r="AO63" s="4">
        <f t="shared" si="121"/>
        <v>2380499.9999999991</v>
      </c>
      <c r="AP63" s="21">
        <f t="shared" si="112"/>
        <v>0.4690178307555905</v>
      </c>
      <c r="AQ63" s="38"/>
      <c r="AR63" s="39"/>
      <c r="AS63" s="39"/>
      <c r="AT63" s="39"/>
    </row>
    <row r="64" spans="1:46" x14ac:dyDescent="0.25">
      <c r="A64" s="5" t="s">
        <v>39</v>
      </c>
      <c r="B64" s="4">
        <f t="shared" si="113"/>
        <v>31671119.999999996</v>
      </c>
      <c r="C64" s="4">
        <v>2639259.9999999995</v>
      </c>
      <c r="D64" s="4">
        <v>0</v>
      </c>
      <c r="E64" s="4">
        <f t="shared" si="86"/>
        <v>2639259.9999999995</v>
      </c>
      <c r="F64" s="4">
        <v>2639259.9999999995</v>
      </c>
      <c r="G64" s="4">
        <v>0</v>
      </c>
      <c r="H64" s="4">
        <f t="shared" si="87"/>
        <v>2639259.9999999995</v>
      </c>
      <c r="I64" s="4">
        <v>2639259.9999999995</v>
      </c>
      <c r="J64" s="4">
        <v>0</v>
      </c>
      <c r="K64" s="4">
        <f t="shared" si="88"/>
        <v>2639259.9999999995</v>
      </c>
      <c r="L64" s="4">
        <f>+'[1]Déficit P&amp;K feb16'!F62</f>
        <v>2639259.9999999995</v>
      </c>
      <c r="M64" s="4">
        <v>0</v>
      </c>
      <c r="N64" s="4">
        <f t="shared" si="89"/>
        <v>2639259.9999999995</v>
      </c>
      <c r="O64" s="4">
        <f>+'[1]Déficit P&amp;K feb16'!G62</f>
        <v>2639259.9999999995</v>
      </c>
      <c r="P64" s="4">
        <v>14054000</v>
      </c>
      <c r="Q64" s="4">
        <f t="shared" si="114"/>
        <v>-11414740</v>
      </c>
      <c r="R64" s="4">
        <v>2639259.9999999995</v>
      </c>
      <c r="S64" s="4">
        <v>0</v>
      </c>
      <c r="T64" s="4">
        <f t="shared" si="115"/>
        <v>2639259.9999999995</v>
      </c>
      <c r="U64" s="4">
        <f>+'[1]Déficit P&amp;K feb16'!I62</f>
        <v>2639259.9999999995</v>
      </c>
      <c r="V64" s="4">
        <v>0</v>
      </c>
      <c r="W64" s="4">
        <f t="shared" si="116"/>
        <v>2639259.9999999995</v>
      </c>
      <c r="X64" s="4">
        <f>+'[1]Déficit P&amp;K feb16'!J62</f>
        <v>2639259.9999999995</v>
      </c>
      <c r="Y64" s="4"/>
      <c r="Z64" s="4">
        <f t="shared" si="117"/>
        <v>2639259.9999999995</v>
      </c>
      <c r="AA64" s="4">
        <f>+'[1]Déficit P&amp;K feb16'!K62</f>
        <v>2639259.9999999995</v>
      </c>
      <c r="AB64" s="4">
        <v>0</v>
      </c>
      <c r="AC64" s="4">
        <f t="shared" si="94"/>
        <v>2639259.9999999995</v>
      </c>
      <c r="AD64" s="4">
        <f>+'[1]Déficit P&amp;K feb16'!N62</f>
        <v>2639259.9999999995</v>
      </c>
      <c r="AE64" s="4">
        <v>0</v>
      </c>
      <c r="AF64" s="4">
        <f t="shared" si="118"/>
        <v>2639259.9999999995</v>
      </c>
      <c r="AG64" s="4">
        <f>+'[1]Déficit P&amp;K feb16'!M62</f>
        <v>2639259.9999999995</v>
      </c>
      <c r="AH64" s="4"/>
      <c r="AI64" s="4">
        <f t="shared" si="119"/>
        <v>2639259.9999999995</v>
      </c>
      <c r="AJ64" s="4">
        <f>+'[1]Déficit P&amp;K feb16'!N62</f>
        <v>2639259.9999999995</v>
      </c>
      <c r="AK64" s="4"/>
      <c r="AL64" s="4">
        <f t="shared" si="120"/>
        <v>2639259.9999999995</v>
      </c>
      <c r="AM64" s="4">
        <f t="shared" si="98"/>
        <v>31671119.999999996</v>
      </c>
      <c r="AN64" s="4">
        <f t="shared" si="98"/>
        <v>14054000</v>
      </c>
      <c r="AO64" s="4">
        <f t="shared" si="121"/>
        <v>17617119.999999996</v>
      </c>
      <c r="AP64" s="21">
        <f t="shared" si="112"/>
        <v>0.55625187868316617</v>
      </c>
      <c r="AQ64" s="38"/>
      <c r="AR64" s="39"/>
      <c r="AS64" s="39"/>
      <c r="AT64" s="39"/>
    </row>
    <row r="65" spans="1:46" x14ac:dyDescent="0.25">
      <c r="A65" s="19" t="s">
        <v>40</v>
      </c>
      <c r="B65" s="4">
        <f t="shared" si="113"/>
        <v>26030200</v>
      </c>
      <c r="C65" s="4">
        <v>2000000</v>
      </c>
      <c r="D65" s="4">
        <v>165000</v>
      </c>
      <c r="E65" s="4">
        <f t="shared" si="86"/>
        <v>1835000</v>
      </c>
      <c r="F65" s="4">
        <v>2000000</v>
      </c>
      <c r="G65" s="4">
        <v>787250</v>
      </c>
      <c r="H65" s="4">
        <f t="shared" si="87"/>
        <v>1212750</v>
      </c>
      <c r="I65" s="4">
        <v>2000000</v>
      </c>
      <c r="J65" s="4">
        <v>3970959</v>
      </c>
      <c r="K65" s="4">
        <f t="shared" si="88"/>
        <v>-1970959</v>
      </c>
      <c r="L65" s="4">
        <f>+'[1]Déficit P&amp;K feb16'!F63</f>
        <v>2000000</v>
      </c>
      <c r="M65" s="4">
        <v>3372300</v>
      </c>
      <c r="N65" s="4">
        <f t="shared" si="89"/>
        <v>-1372300</v>
      </c>
      <c r="O65" s="4">
        <f>+'[1]Déficit P&amp;K feb16'!G63</f>
        <v>2000000</v>
      </c>
      <c r="P65" s="4">
        <v>0</v>
      </c>
      <c r="Q65" s="4">
        <f t="shared" si="114"/>
        <v>2000000</v>
      </c>
      <c r="R65" s="4">
        <v>2000000</v>
      </c>
      <c r="S65" s="4">
        <v>2543000</v>
      </c>
      <c r="T65" s="4">
        <f t="shared" si="115"/>
        <v>-543000</v>
      </c>
      <c r="U65" s="4">
        <f>+'[1]Déficit P&amp;K feb16'!I63</f>
        <v>2000000</v>
      </c>
      <c r="V65" s="4">
        <v>2440300</v>
      </c>
      <c r="W65" s="4">
        <f t="shared" si="116"/>
        <v>-440300</v>
      </c>
      <c r="X65" s="4">
        <f>+'[1]Déficit P&amp;K feb16'!J63</f>
        <v>2000000</v>
      </c>
      <c r="Y65" s="4">
        <v>2215500</v>
      </c>
      <c r="Z65" s="4">
        <f t="shared" si="117"/>
        <v>-215500</v>
      </c>
      <c r="AA65" s="4">
        <f>+'[1]Déficit P&amp;K feb16'!K63</f>
        <v>2000000</v>
      </c>
      <c r="AB65" s="4">
        <v>2214000</v>
      </c>
      <c r="AC65" s="4">
        <f t="shared" si="94"/>
        <v>-214000</v>
      </c>
      <c r="AD65" s="4">
        <v>2000000</v>
      </c>
      <c r="AE65" s="4">
        <v>2178300</v>
      </c>
      <c r="AF65" s="4">
        <f t="shared" si="118"/>
        <v>-178300</v>
      </c>
      <c r="AG65" s="4">
        <f>+'[1]Déficit P&amp;K feb16'!M63</f>
        <v>2000000</v>
      </c>
      <c r="AH65" s="4">
        <v>2215500</v>
      </c>
      <c r="AI65" s="4">
        <f t="shared" si="119"/>
        <v>-215500</v>
      </c>
      <c r="AJ65" s="4">
        <f>+'[1]Déficit P&amp;K feb16'!N63</f>
        <v>4030200</v>
      </c>
      <c r="AK65" s="4">
        <f>900000+2112800</f>
        <v>3012800</v>
      </c>
      <c r="AL65" s="4">
        <f t="shared" si="120"/>
        <v>1017400</v>
      </c>
      <c r="AM65" s="4">
        <f t="shared" si="98"/>
        <v>26030200</v>
      </c>
      <c r="AN65" s="4">
        <f t="shared" si="98"/>
        <v>25114909</v>
      </c>
      <c r="AO65" s="4">
        <f t="shared" si="121"/>
        <v>915291</v>
      </c>
      <c r="AP65" s="21">
        <f t="shared" si="112"/>
        <v>3.5162657221227654E-2</v>
      </c>
      <c r="AQ65" s="38"/>
      <c r="AR65" s="39"/>
      <c r="AS65" s="39"/>
      <c r="AT65" s="39"/>
    </row>
    <row r="66" spans="1:46" x14ac:dyDescent="0.25">
      <c r="A66" s="5" t="s">
        <v>41</v>
      </c>
      <c r="B66" s="4">
        <f t="shared" si="113"/>
        <v>1624159.9999999998</v>
      </c>
      <c r="C66" s="4">
        <v>812079.99999999988</v>
      </c>
      <c r="D66" s="4">
        <v>0</v>
      </c>
      <c r="E66" s="4">
        <f t="shared" si="86"/>
        <v>812079.99999999988</v>
      </c>
      <c r="F66" s="4">
        <v>0</v>
      </c>
      <c r="G66" s="4">
        <v>0</v>
      </c>
      <c r="H66" s="4">
        <f t="shared" si="87"/>
        <v>0</v>
      </c>
      <c r="I66" s="4">
        <v>0</v>
      </c>
      <c r="J66" s="4">
        <v>0</v>
      </c>
      <c r="K66" s="4">
        <f t="shared" si="88"/>
        <v>0</v>
      </c>
      <c r="L66" s="4">
        <f>+'[1]Déficit P&amp;K feb16'!F64</f>
        <v>0</v>
      </c>
      <c r="M66" s="4">
        <v>0</v>
      </c>
      <c r="N66" s="4">
        <f t="shared" si="89"/>
        <v>0</v>
      </c>
      <c r="O66" s="4">
        <f>+'[1]Déficit P&amp;K feb16'!G64</f>
        <v>0</v>
      </c>
      <c r="P66" s="4">
        <v>0</v>
      </c>
      <c r="Q66" s="4">
        <f t="shared" si="114"/>
        <v>0</v>
      </c>
      <c r="R66" s="4">
        <v>812079.99999999988</v>
      </c>
      <c r="S66" s="4">
        <v>0</v>
      </c>
      <c r="T66" s="4">
        <f t="shared" si="115"/>
        <v>812079.99999999988</v>
      </c>
      <c r="U66" s="4">
        <f>+'[1]Déficit P&amp;K feb16'!I64</f>
        <v>0</v>
      </c>
      <c r="V66" s="4">
        <v>0</v>
      </c>
      <c r="W66" s="4">
        <f t="shared" si="116"/>
        <v>0</v>
      </c>
      <c r="X66" s="4">
        <f>+'[1]Déficit P&amp;K feb16'!J64</f>
        <v>0</v>
      </c>
      <c r="Y66" s="4"/>
      <c r="Z66" s="4">
        <f t="shared" si="117"/>
        <v>0</v>
      </c>
      <c r="AA66" s="4">
        <f>+'[1]Déficit P&amp;K feb16'!K64</f>
        <v>0</v>
      </c>
      <c r="AB66" s="4">
        <v>0</v>
      </c>
      <c r="AC66" s="4">
        <f t="shared" si="94"/>
        <v>0</v>
      </c>
      <c r="AD66" s="4">
        <f>+'[1]Déficit P&amp;K feb16'!N64</f>
        <v>0</v>
      </c>
      <c r="AE66" s="4">
        <v>0</v>
      </c>
      <c r="AF66" s="4">
        <f t="shared" si="118"/>
        <v>0</v>
      </c>
      <c r="AG66" s="4">
        <f>+'[1]Déficit P&amp;K feb16'!M64</f>
        <v>0</v>
      </c>
      <c r="AH66" s="4"/>
      <c r="AI66" s="4">
        <f t="shared" si="119"/>
        <v>0</v>
      </c>
      <c r="AJ66" s="4">
        <f>+'[1]Déficit P&amp;K feb16'!N64</f>
        <v>0</v>
      </c>
      <c r="AK66" s="4"/>
      <c r="AL66" s="4">
        <f t="shared" si="120"/>
        <v>0</v>
      </c>
      <c r="AM66" s="4">
        <f t="shared" si="98"/>
        <v>1624159.9999999998</v>
      </c>
      <c r="AN66" s="4">
        <f t="shared" si="98"/>
        <v>0</v>
      </c>
      <c r="AO66" s="4">
        <f t="shared" si="121"/>
        <v>1624159.9999999998</v>
      </c>
      <c r="AP66" s="21">
        <f t="shared" si="112"/>
        <v>1</v>
      </c>
      <c r="AQ66" s="38"/>
      <c r="AR66" s="39"/>
      <c r="AS66" s="39"/>
      <c r="AT66" s="39"/>
    </row>
    <row r="67" spans="1:46" x14ac:dyDescent="0.25">
      <c r="A67" s="5" t="s">
        <v>42</v>
      </c>
      <c r="B67" s="4">
        <f t="shared" si="113"/>
        <v>7917779.9999999991</v>
      </c>
      <c r="C67" s="4">
        <v>0</v>
      </c>
      <c r="D67" s="4">
        <v>0</v>
      </c>
      <c r="E67" s="4">
        <f t="shared" si="86"/>
        <v>0</v>
      </c>
      <c r="F67" s="4">
        <v>1319629.9999999998</v>
      </c>
      <c r="G67" s="4">
        <v>450000</v>
      </c>
      <c r="H67" s="4">
        <f t="shared" si="87"/>
        <v>869629.99999999977</v>
      </c>
      <c r="I67" s="4">
        <v>0</v>
      </c>
      <c r="J67" s="4">
        <v>0</v>
      </c>
      <c r="K67" s="4">
        <f t="shared" si="88"/>
        <v>0</v>
      </c>
      <c r="L67" s="4">
        <f>+'[1]Déficit P&amp;K feb16'!F65</f>
        <v>1319629.9999999998</v>
      </c>
      <c r="M67" s="4">
        <v>0</v>
      </c>
      <c r="N67" s="4">
        <f t="shared" si="89"/>
        <v>1319629.9999999998</v>
      </c>
      <c r="O67" s="4">
        <f>+'[1]Déficit P&amp;K feb16'!G65</f>
        <v>0</v>
      </c>
      <c r="P67" s="4">
        <v>0</v>
      </c>
      <c r="Q67" s="4">
        <f t="shared" si="114"/>
        <v>0</v>
      </c>
      <c r="R67" s="4">
        <v>1319629.9999999998</v>
      </c>
      <c r="S67" s="4">
        <v>350000</v>
      </c>
      <c r="T67" s="4">
        <f t="shared" si="115"/>
        <v>969629.99999999977</v>
      </c>
      <c r="U67" s="4">
        <f>+'[1]Déficit P&amp;K feb16'!I65</f>
        <v>0</v>
      </c>
      <c r="V67" s="4">
        <v>0</v>
      </c>
      <c r="W67" s="4">
        <f t="shared" si="116"/>
        <v>0</v>
      </c>
      <c r="X67" s="4">
        <f>+'[1]Déficit P&amp;K feb16'!J65</f>
        <v>1319629.9999999998</v>
      </c>
      <c r="Y67" s="4"/>
      <c r="Z67" s="4">
        <f t="shared" si="117"/>
        <v>1319629.9999999998</v>
      </c>
      <c r="AA67" s="4">
        <f>+'[1]Déficit P&amp;K feb16'!K65</f>
        <v>0</v>
      </c>
      <c r="AB67" s="4">
        <v>2625000</v>
      </c>
      <c r="AC67" s="4">
        <f t="shared" si="94"/>
        <v>-2625000</v>
      </c>
      <c r="AD67" s="4">
        <f>+'[1]Déficit P&amp;K feb16'!N65</f>
        <v>1319629.9999999998</v>
      </c>
      <c r="AE67" s="4">
        <v>2625000</v>
      </c>
      <c r="AF67" s="4">
        <f t="shared" si="118"/>
        <v>-1305370.0000000002</v>
      </c>
      <c r="AG67" s="4">
        <f>+'[1]Déficit P&amp;K feb16'!M65</f>
        <v>0</v>
      </c>
      <c r="AH67" s="4"/>
      <c r="AI67" s="4">
        <f t="shared" si="119"/>
        <v>0</v>
      </c>
      <c r="AJ67" s="4">
        <f>+'[1]Déficit P&amp;K feb16'!N65</f>
        <v>1319629.9999999998</v>
      </c>
      <c r="AK67" s="4"/>
      <c r="AL67" s="4">
        <f t="shared" si="120"/>
        <v>1319629.9999999998</v>
      </c>
      <c r="AM67" s="4">
        <f t="shared" si="98"/>
        <v>7917779.9999999991</v>
      </c>
      <c r="AN67" s="4">
        <f t="shared" si="98"/>
        <v>6050000</v>
      </c>
      <c r="AO67" s="4">
        <f t="shared" si="121"/>
        <v>1867779.9999999991</v>
      </c>
      <c r="AP67" s="21">
        <f t="shared" si="112"/>
        <v>0.23589693070532389</v>
      </c>
      <c r="AQ67" s="38"/>
      <c r="AR67" s="39"/>
      <c r="AS67" s="39"/>
      <c r="AT67" s="39"/>
    </row>
    <row r="68" spans="1:46" x14ac:dyDescent="0.25">
      <c r="A68" s="5" t="s">
        <v>43</v>
      </c>
      <c r="B68" s="4">
        <f t="shared" si="113"/>
        <v>12181199.999999998</v>
      </c>
      <c r="C68" s="4">
        <v>0</v>
      </c>
      <c r="D68" s="4">
        <v>0</v>
      </c>
      <c r="E68" s="4">
        <f t="shared" si="86"/>
        <v>0</v>
      </c>
      <c r="F68" s="4">
        <v>2030199.9999999998</v>
      </c>
      <c r="G68" s="4">
        <v>0</v>
      </c>
      <c r="H68" s="4">
        <f t="shared" si="87"/>
        <v>2030199.9999999998</v>
      </c>
      <c r="I68" s="4">
        <v>0</v>
      </c>
      <c r="J68" s="4">
        <v>0</v>
      </c>
      <c r="K68" s="4">
        <f t="shared" si="88"/>
        <v>0</v>
      </c>
      <c r="L68" s="4">
        <f>+'[1]Déficit P&amp;K feb16'!F66</f>
        <v>2030199.9999999998</v>
      </c>
      <c r="M68" s="4">
        <v>0</v>
      </c>
      <c r="N68" s="4">
        <f t="shared" si="89"/>
        <v>2030199.9999999998</v>
      </c>
      <c r="O68" s="4">
        <f>+'[1]Déficit P&amp;K feb16'!G66</f>
        <v>0</v>
      </c>
      <c r="P68" s="4">
        <v>540000</v>
      </c>
      <c r="Q68" s="4">
        <f t="shared" si="114"/>
        <v>-540000</v>
      </c>
      <c r="R68" s="4">
        <v>2030199.9999999998</v>
      </c>
      <c r="S68" s="4">
        <v>0</v>
      </c>
      <c r="T68" s="4">
        <f t="shared" si="115"/>
        <v>2030199.9999999998</v>
      </c>
      <c r="U68" s="4">
        <f>+'[1]Déficit P&amp;K feb16'!I66</f>
        <v>0</v>
      </c>
      <c r="V68" s="4">
        <v>0</v>
      </c>
      <c r="W68" s="4">
        <f t="shared" si="116"/>
        <v>0</v>
      </c>
      <c r="X68" s="4">
        <f>+'[1]Déficit P&amp;K feb16'!J66</f>
        <v>2030199.9999999998</v>
      </c>
      <c r="Y68" s="4"/>
      <c r="Z68" s="4">
        <f t="shared" si="117"/>
        <v>2030199.9999999998</v>
      </c>
      <c r="AA68" s="4">
        <f>+'[1]Déficit P&amp;K feb16'!K66</f>
        <v>0</v>
      </c>
      <c r="AB68" s="4">
        <v>0</v>
      </c>
      <c r="AC68" s="4">
        <f t="shared" si="94"/>
        <v>0</v>
      </c>
      <c r="AD68" s="4">
        <f>+'[1]Déficit P&amp;K feb16'!N66</f>
        <v>2030199.9999999998</v>
      </c>
      <c r="AE68" s="4">
        <v>940000</v>
      </c>
      <c r="AF68" s="4">
        <f t="shared" si="118"/>
        <v>1090199.9999999998</v>
      </c>
      <c r="AG68" s="4">
        <f>+'[1]Déficit P&amp;K feb16'!M66</f>
        <v>0</v>
      </c>
      <c r="AH68" s="4"/>
      <c r="AI68" s="4">
        <f t="shared" si="119"/>
        <v>0</v>
      </c>
      <c r="AJ68" s="4">
        <f>+'[1]Déficit P&amp;K feb16'!N66</f>
        <v>2030199.9999999998</v>
      </c>
      <c r="AK68" s="4"/>
      <c r="AL68" s="4">
        <f t="shared" si="120"/>
        <v>2030199.9999999998</v>
      </c>
      <c r="AM68" s="4">
        <f t="shared" si="98"/>
        <v>12181199.999999998</v>
      </c>
      <c r="AN68" s="4">
        <f t="shared" si="98"/>
        <v>1480000</v>
      </c>
      <c r="AO68" s="4">
        <f t="shared" si="121"/>
        <v>10701199.999999998</v>
      </c>
      <c r="AP68" s="21">
        <f t="shared" si="112"/>
        <v>0.87850129708074731</v>
      </c>
      <c r="AQ68" s="38"/>
      <c r="AR68" s="39"/>
      <c r="AS68" s="39"/>
      <c r="AT68" s="39"/>
    </row>
    <row r="69" spans="1:46" x14ac:dyDescent="0.25">
      <c r="A69" s="5" t="s">
        <v>44</v>
      </c>
      <c r="B69" s="4">
        <f t="shared" si="113"/>
        <v>1279025.9999999998</v>
      </c>
      <c r="C69" s="4">
        <v>0</v>
      </c>
      <c r="D69" s="4">
        <v>0</v>
      </c>
      <c r="E69" s="4">
        <f t="shared" si="86"/>
        <v>0</v>
      </c>
      <c r="F69" s="4">
        <v>213170.99999999997</v>
      </c>
      <c r="G69" s="4">
        <v>0</v>
      </c>
      <c r="H69" s="4">
        <f t="shared" si="87"/>
        <v>213170.99999999997</v>
      </c>
      <c r="I69" s="4">
        <v>0</v>
      </c>
      <c r="J69" s="4">
        <v>0</v>
      </c>
      <c r="K69" s="4">
        <f t="shared" si="88"/>
        <v>0</v>
      </c>
      <c r="L69" s="4">
        <f>+'[1]Déficit P&amp;K feb16'!F67</f>
        <v>213170.99999999997</v>
      </c>
      <c r="M69" s="4">
        <v>1840000</v>
      </c>
      <c r="N69" s="4">
        <f t="shared" si="89"/>
        <v>-1626829</v>
      </c>
      <c r="O69" s="4">
        <f>+'[1]Déficit P&amp;K feb16'!G67</f>
        <v>0</v>
      </c>
      <c r="P69" s="4">
        <v>0</v>
      </c>
      <c r="Q69" s="4">
        <f t="shared" si="114"/>
        <v>0</v>
      </c>
      <c r="R69" s="4">
        <v>213170.99999999997</v>
      </c>
      <c r="S69" s="4">
        <v>0</v>
      </c>
      <c r="T69" s="4">
        <f t="shared" si="115"/>
        <v>213170.99999999997</v>
      </c>
      <c r="U69" s="4">
        <f>+'[1]Déficit P&amp;K feb16'!I67</f>
        <v>0</v>
      </c>
      <c r="V69" s="4">
        <v>0</v>
      </c>
      <c r="W69" s="4">
        <f t="shared" si="116"/>
        <v>0</v>
      </c>
      <c r="X69" s="4">
        <f>+'[1]Déficit P&amp;K feb16'!J67</f>
        <v>213170.99999999997</v>
      </c>
      <c r="Y69" s="4"/>
      <c r="Z69" s="4">
        <f t="shared" si="117"/>
        <v>213170.99999999997</v>
      </c>
      <c r="AA69" s="4">
        <f>+'[1]Déficit P&amp;K feb16'!K67</f>
        <v>0</v>
      </c>
      <c r="AB69" s="4">
        <v>0</v>
      </c>
      <c r="AC69" s="4">
        <f t="shared" si="94"/>
        <v>0</v>
      </c>
      <c r="AD69" s="4">
        <f>+'[1]Déficit P&amp;K feb16'!N67</f>
        <v>213170.99999999997</v>
      </c>
      <c r="AE69" s="4">
        <v>0</v>
      </c>
      <c r="AF69" s="4">
        <f t="shared" si="118"/>
        <v>213170.99999999997</v>
      </c>
      <c r="AG69" s="4">
        <f>+'[1]Déficit P&amp;K feb16'!M67</f>
        <v>0</v>
      </c>
      <c r="AH69" s="4"/>
      <c r="AI69" s="4">
        <f t="shared" si="119"/>
        <v>0</v>
      </c>
      <c r="AJ69" s="4">
        <f>+'[1]Déficit P&amp;K feb16'!N67</f>
        <v>213170.99999999997</v>
      </c>
      <c r="AK69" s="4"/>
      <c r="AL69" s="4">
        <f t="shared" si="120"/>
        <v>213170.99999999997</v>
      </c>
      <c r="AM69" s="4">
        <f t="shared" si="98"/>
        <v>1279025.9999999998</v>
      </c>
      <c r="AN69" s="4">
        <f t="shared" si="98"/>
        <v>1840000</v>
      </c>
      <c r="AO69" s="4">
        <f t="shared" si="121"/>
        <v>-560974.00000000023</v>
      </c>
      <c r="AP69" s="21">
        <f t="shared" si="112"/>
        <v>-0.43859468063979962</v>
      </c>
      <c r="AQ69" s="38"/>
      <c r="AR69" s="39"/>
      <c r="AS69" s="39"/>
      <c r="AT69" s="39"/>
    </row>
    <row r="70" spans="1:46" x14ac:dyDescent="0.25">
      <c r="A70" s="5" t="s">
        <v>45</v>
      </c>
      <c r="B70" s="4">
        <f t="shared" si="113"/>
        <v>1279025.9999999998</v>
      </c>
      <c r="C70" s="4">
        <v>0</v>
      </c>
      <c r="D70" s="4">
        <v>0</v>
      </c>
      <c r="E70" s="4">
        <f t="shared" si="86"/>
        <v>0</v>
      </c>
      <c r="F70" s="4">
        <v>213170.99999999997</v>
      </c>
      <c r="G70" s="4">
        <v>0</v>
      </c>
      <c r="H70" s="4">
        <f t="shared" si="87"/>
        <v>213170.99999999997</v>
      </c>
      <c r="I70" s="4">
        <v>0</v>
      </c>
      <c r="J70" s="4">
        <v>0</v>
      </c>
      <c r="K70" s="4">
        <f t="shared" si="88"/>
        <v>0</v>
      </c>
      <c r="L70" s="4">
        <f>+'[1]Déficit P&amp;K feb16'!F68</f>
        <v>213170.99999999997</v>
      </c>
      <c r="M70" s="4">
        <v>0</v>
      </c>
      <c r="N70" s="4">
        <f t="shared" si="89"/>
        <v>213170.99999999997</v>
      </c>
      <c r="O70" s="4">
        <f>+'[1]Déficit P&amp;K feb16'!G68</f>
        <v>0</v>
      </c>
      <c r="P70" s="4">
        <v>0</v>
      </c>
      <c r="Q70" s="4">
        <f t="shared" si="114"/>
        <v>0</v>
      </c>
      <c r="R70" s="4">
        <v>213170.99999999997</v>
      </c>
      <c r="S70" s="4">
        <v>0</v>
      </c>
      <c r="T70" s="4">
        <f t="shared" si="115"/>
        <v>213170.99999999997</v>
      </c>
      <c r="U70" s="4">
        <f>+'[1]Déficit P&amp;K feb16'!I68</f>
        <v>0</v>
      </c>
      <c r="V70" s="4">
        <v>0</v>
      </c>
      <c r="W70" s="4">
        <f t="shared" si="116"/>
        <v>0</v>
      </c>
      <c r="X70" s="4">
        <f>+'[1]Déficit P&amp;K feb16'!J68</f>
        <v>213170.99999999997</v>
      </c>
      <c r="Y70" s="4"/>
      <c r="Z70" s="4">
        <f t="shared" si="117"/>
        <v>213170.99999999997</v>
      </c>
      <c r="AA70" s="4">
        <f>+'[1]Déficit P&amp;K feb16'!K68</f>
        <v>0</v>
      </c>
      <c r="AB70" s="4">
        <v>0</v>
      </c>
      <c r="AC70" s="4">
        <f t="shared" si="94"/>
        <v>0</v>
      </c>
      <c r="AD70" s="4">
        <f>+'[1]Déficit P&amp;K feb16'!N68</f>
        <v>213170.99999999997</v>
      </c>
      <c r="AE70" s="4">
        <v>0</v>
      </c>
      <c r="AF70" s="4">
        <f t="shared" si="118"/>
        <v>213170.99999999997</v>
      </c>
      <c r="AG70" s="4">
        <f>+'[1]Déficit P&amp;K feb16'!M68</f>
        <v>0</v>
      </c>
      <c r="AH70" s="4"/>
      <c r="AI70" s="4">
        <f t="shared" si="119"/>
        <v>0</v>
      </c>
      <c r="AJ70" s="4">
        <f>+'[1]Déficit P&amp;K feb16'!N68</f>
        <v>213170.99999999997</v>
      </c>
      <c r="AK70" s="4"/>
      <c r="AL70" s="4">
        <f t="shared" si="120"/>
        <v>213170.99999999997</v>
      </c>
      <c r="AM70" s="4">
        <f t="shared" si="98"/>
        <v>1279025.9999999998</v>
      </c>
      <c r="AN70" s="4">
        <f t="shared" si="98"/>
        <v>0</v>
      </c>
      <c r="AO70" s="4">
        <f t="shared" si="121"/>
        <v>1279025.9999999998</v>
      </c>
      <c r="AP70" s="21">
        <f t="shared" si="112"/>
        <v>1</v>
      </c>
      <c r="AQ70" s="38"/>
      <c r="AR70" s="39"/>
      <c r="AS70" s="39"/>
      <c r="AT70" s="39"/>
    </row>
    <row r="71" spans="1:46" x14ac:dyDescent="0.25">
      <c r="A71" s="5" t="s">
        <v>46</v>
      </c>
      <c r="B71" s="4">
        <f t="shared" si="113"/>
        <v>609059.99999999988</v>
      </c>
      <c r="C71" s="4">
        <v>101509.99999999999</v>
      </c>
      <c r="D71" s="4">
        <v>0</v>
      </c>
      <c r="E71" s="4">
        <f t="shared" si="86"/>
        <v>101509.99999999999</v>
      </c>
      <c r="F71" s="4">
        <v>0</v>
      </c>
      <c r="G71" s="4">
        <v>0</v>
      </c>
      <c r="H71" s="4">
        <f t="shared" si="87"/>
        <v>0</v>
      </c>
      <c r="I71" s="4">
        <v>101509.99999999999</v>
      </c>
      <c r="J71" s="4">
        <v>0</v>
      </c>
      <c r="K71" s="4">
        <f t="shared" si="88"/>
        <v>101509.99999999999</v>
      </c>
      <c r="L71" s="4">
        <f>+'[1]Déficit P&amp;K feb16'!F69</f>
        <v>0</v>
      </c>
      <c r="M71" s="4">
        <v>0</v>
      </c>
      <c r="N71" s="4">
        <f t="shared" si="89"/>
        <v>0</v>
      </c>
      <c r="O71" s="4">
        <f>+'[1]Déficit P&amp;K feb16'!G69</f>
        <v>101509.99999999999</v>
      </c>
      <c r="P71" s="4">
        <v>0</v>
      </c>
      <c r="Q71" s="4">
        <f t="shared" si="114"/>
        <v>101509.99999999999</v>
      </c>
      <c r="R71" s="4">
        <v>0</v>
      </c>
      <c r="S71" s="4">
        <v>0</v>
      </c>
      <c r="T71" s="4">
        <f t="shared" si="115"/>
        <v>0</v>
      </c>
      <c r="U71" s="4">
        <f>+'[1]Déficit P&amp;K feb16'!I69</f>
        <v>101509.99999999999</v>
      </c>
      <c r="V71" s="4">
        <v>0</v>
      </c>
      <c r="W71" s="4">
        <f t="shared" si="116"/>
        <v>101509.99999999999</v>
      </c>
      <c r="X71" s="4">
        <f>+'[1]Déficit P&amp;K feb16'!J69</f>
        <v>0</v>
      </c>
      <c r="Y71" s="4"/>
      <c r="Z71" s="4">
        <f t="shared" si="117"/>
        <v>0</v>
      </c>
      <c r="AA71" s="4">
        <f>+'[1]Déficit P&amp;K feb16'!K69</f>
        <v>101509.99999999999</v>
      </c>
      <c r="AB71" s="4">
        <v>0</v>
      </c>
      <c r="AC71" s="4">
        <f t="shared" si="94"/>
        <v>101509.99999999999</v>
      </c>
      <c r="AD71" s="4">
        <f>+'[1]Déficit P&amp;K feb16'!N69</f>
        <v>0</v>
      </c>
      <c r="AE71" s="4">
        <v>0</v>
      </c>
      <c r="AF71" s="4">
        <f t="shared" si="118"/>
        <v>0</v>
      </c>
      <c r="AG71" s="4">
        <f>+'[1]Déficit P&amp;K feb16'!M69</f>
        <v>101509.99999999999</v>
      </c>
      <c r="AH71" s="4"/>
      <c r="AI71" s="4">
        <f t="shared" si="119"/>
        <v>101509.99999999999</v>
      </c>
      <c r="AJ71" s="4">
        <f>+'[1]Déficit P&amp;K feb16'!N69</f>
        <v>0</v>
      </c>
      <c r="AK71" s="4"/>
      <c r="AL71" s="4">
        <f t="shared" si="120"/>
        <v>0</v>
      </c>
      <c r="AM71" s="4">
        <f t="shared" si="98"/>
        <v>609059.99999999988</v>
      </c>
      <c r="AN71" s="4">
        <f t="shared" si="98"/>
        <v>0</v>
      </c>
      <c r="AO71" s="4">
        <f t="shared" si="121"/>
        <v>609059.99999999988</v>
      </c>
      <c r="AP71" s="21">
        <f t="shared" si="112"/>
        <v>1</v>
      </c>
      <c r="AQ71" s="38"/>
      <c r="AR71" s="39"/>
      <c r="AS71" s="39"/>
      <c r="AT71" s="39"/>
    </row>
    <row r="72" spans="1:46" ht="30" x14ac:dyDescent="0.25">
      <c r="A72" s="19" t="s">
        <v>47</v>
      </c>
      <c r="B72" s="4">
        <f t="shared" si="113"/>
        <v>304529.99999999994</v>
      </c>
      <c r="C72" s="4">
        <v>101509.99999999999</v>
      </c>
      <c r="D72" s="4">
        <v>0</v>
      </c>
      <c r="E72" s="4">
        <f t="shared" si="86"/>
        <v>101509.99999999999</v>
      </c>
      <c r="F72" s="4">
        <v>101509.99999999999</v>
      </c>
      <c r="G72" s="4">
        <v>0</v>
      </c>
      <c r="H72" s="4">
        <f t="shared" si="87"/>
        <v>101509.99999999999</v>
      </c>
      <c r="I72" s="4">
        <v>101509.99999999999</v>
      </c>
      <c r="J72" s="4">
        <v>0</v>
      </c>
      <c r="K72" s="4">
        <f t="shared" si="88"/>
        <v>101509.99999999999</v>
      </c>
      <c r="L72" s="4">
        <f>+'[1]Déficit P&amp;K feb16'!F70</f>
        <v>0</v>
      </c>
      <c r="M72" s="4">
        <v>0</v>
      </c>
      <c r="N72" s="4">
        <f t="shared" si="89"/>
        <v>0</v>
      </c>
      <c r="O72" s="4">
        <f>+'[1]Déficit P&amp;K feb16'!G70</f>
        <v>0</v>
      </c>
      <c r="P72" s="4">
        <v>0</v>
      </c>
      <c r="Q72" s="4">
        <f t="shared" si="114"/>
        <v>0</v>
      </c>
      <c r="R72" s="4">
        <v>0</v>
      </c>
      <c r="S72" s="4">
        <v>0</v>
      </c>
      <c r="T72" s="4">
        <f t="shared" si="115"/>
        <v>0</v>
      </c>
      <c r="U72" s="4">
        <f>+'[1]Déficit P&amp;K feb16'!I70</f>
        <v>0</v>
      </c>
      <c r="V72" s="4">
        <v>0</v>
      </c>
      <c r="W72" s="4">
        <f t="shared" si="116"/>
        <v>0</v>
      </c>
      <c r="X72" s="4">
        <f>+'[1]Déficit P&amp;K feb16'!J70</f>
        <v>0</v>
      </c>
      <c r="Y72" s="4"/>
      <c r="Z72" s="4">
        <f t="shared" si="117"/>
        <v>0</v>
      </c>
      <c r="AA72" s="4">
        <f>+'[1]Déficit P&amp;K feb16'!K70</f>
        <v>0</v>
      </c>
      <c r="AB72" s="4">
        <v>0</v>
      </c>
      <c r="AC72" s="4">
        <f t="shared" si="94"/>
        <v>0</v>
      </c>
      <c r="AD72" s="4">
        <f>+'[1]Déficit P&amp;K feb16'!N70</f>
        <v>0</v>
      </c>
      <c r="AE72" s="4">
        <v>0</v>
      </c>
      <c r="AF72" s="4">
        <f t="shared" si="118"/>
        <v>0</v>
      </c>
      <c r="AG72" s="4">
        <f>+'[1]Déficit P&amp;K feb16'!M70</f>
        <v>0</v>
      </c>
      <c r="AH72" s="4"/>
      <c r="AI72" s="4">
        <f t="shared" si="119"/>
        <v>0</v>
      </c>
      <c r="AJ72" s="4">
        <f>+'[1]Déficit P&amp;K feb16'!N70</f>
        <v>0</v>
      </c>
      <c r="AK72" s="4">
        <v>0</v>
      </c>
      <c r="AL72" s="4">
        <f t="shared" si="120"/>
        <v>0</v>
      </c>
      <c r="AM72" s="4">
        <f t="shared" si="98"/>
        <v>304529.99999999994</v>
      </c>
      <c r="AN72" s="4">
        <f t="shared" si="98"/>
        <v>0</v>
      </c>
      <c r="AO72" s="4">
        <f t="shared" si="121"/>
        <v>304529.99999999994</v>
      </c>
      <c r="AP72" s="21">
        <f t="shared" si="112"/>
        <v>1</v>
      </c>
      <c r="AQ72" s="38"/>
      <c r="AR72" s="39"/>
      <c r="AS72" s="39"/>
      <c r="AT72" s="39"/>
    </row>
    <row r="73" spans="1:46" ht="30" x14ac:dyDescent="0.25">
      <c r="A73" s="19" t="s">
        <v>102</v>
      </c>
      <c r="B73" s="4">
        <f t="shared" si="113"/>
        <v>240000000</v>
      </c>
      <c r="C73" s="4">
        <v>20000000</v>
      </c>
      <c r="D73" s="4">
        <v>4800000</v>
      </c>
      <c r="E73" s="4">
        <f t="shared" si="86"/>
        <v>15200000</v>
      </c>
      <c r="F73" s="4">
        <v>20000000</v>
      </c>
      <c r="G73" s="4">
        <v>5400000</v>
      </c>
      <c r="H73" s="4">
        <f t="shared" si="87"/>
        <v>14600000</v>
      </c>
      <c r="I73" s="4">
        <v>20000000</v>
      </c>
      <c r="J73" s="4">
        <v>20750000</v>
      </c>
      <c r="K73" s="4">
        <f t="shared" si="88"/>
        <v>-750000</v>
      </c>
      <c r="L73" s="4">
        <f>+'[1]Déficit P&amp;K feb16'!F71</f>
        <v>20000000</v>
      </c>
      <c r="M73" s="4">
        <v>5400000</v>
      </c>
      <c r="N73" s="4">
        <f t="shared" si="89"/>
        <v>14600000</v>
      </c>
      <c r="O73" s="4">
        <f>+'[1]Déficit P&amp;K feb16'!G71</f>
        <v>20000000</v>
      </c>
      <c r="P73" s="4">
        <v>5400000</v>
      </c>
      <c r="Q73" s="4">
        <f t="shared" si="114"/>
        <v>14600000</v>
      </c>
      <c r="R73" s="4">
        <v>20000000</v>
      </c>
      <c r="S73" s="4">
        <v>5400000</v>
      </c>
      <c r="T73" s="4">
        <f t="shared" si="115"/>
        <v>14600000</v>
      </c>
      <c r="U73" s="4">
        <f>+'[1]Déficit P&amp;K feb16'!I71</f>
        <v>20000000</v>
      </c>
      <c r="V73" s="4">
        <v>5400000</v>
      </c>
      <c r="W73" s="4">
        <f t="shared" si="116"/>
        <v>14600000</v>
      </c>
      <c r="X73" s="4">
        <f>+'[1]Déficit P&amp;K feb16'!J71</f>
        <v>20000000</v>
      </c>
      <c r="Y73" s="4">
        <v>5400000</v>
      </c>
      <c r="Z73" s="4">
        <f t="shared" si="117"/>
        <v>14600000</v>
      </c>
      <c r="AA73" s="4">
        <f>+'[1]Déficit P&amp;K feb16'!K71</f>
        <v>20000000</v>
      </c>
      <c r="AB73" s="4">
        <v>5400000</v>
      </c>
      <c r="AC73" s="4">
        <f t="shared" si="94"/>
        <v>14600000</v>
      </c>
      <c r="AD73" s="4">
        <f>+'[1]Déficit P&amp;K feb16'!N71</f>
        <v>20000000</v>
      </c>
      <c r="AE73" s="4">
        <v>5400000</v>
      </c>
      <c r="AF73" s="4">
        <f t="shared" si="118"/>
        <v>14600000</v>
      </c>
      <c r="AG73" s="4">
        <f>+'[1]Déficit P&amp;K feb16'!M71</f>
        <v>20000000</v>
      </c>
      <c r="AH73" s="4">
        <v>5400000</v>
      </c>
      <c r="AI73" s="4">
        <f t="shared" si="119"/>
        <v>14600000</v>
      </c>
      <c r="AJ73" s="4">
        <f>+'[1]Déficit P&amp;K feb16'!N71</f>
        <v>20000000</v>
      </c>
      <c r="AK73" s="4">
        <v>5400000</v>
      </c>
      <c r="AL73" s="4">
        <f t="shared" si="120"/>
        <v>14600000</v>
      </c>
      <c r="AM73" s="4">
        <f t="shared" si="98"/>
        <v>240000000</v>
      </c>
      <c r="AN73" s="4">
        <f t="shared" si="98"/>
        <v>79550000</v>
      </c>
      <c r="AO73" s="4">
        <f t="shared" si="121"/>
        <v>160450000</v>
      </c>
      <c r="AP73" s="21">
        <f t="shared" si="112"/>
        <v>0.6685416666666667</v>
      </c>
      <c r="AQ73" s="38"/>
      <c r="AR73" s="39"/>
      <c r="AS73" s="39"/>
      <c r="AT73" s="39"/>
    </row>
    <row r="74" spans="1:46" ht="30" x14ac:dyDescent="0.25">
      <c r="A74" s="19" t="s">
        <v>48</v>
      </c>
      <c r="B74" s="4">
        <f t="shared" si="113"/>
        <v>12000000</v>
      </c>
      <c r="C74" s="4">
        <v>1000000</v>
      </c>
      <c r="D74" s="4">
        <v>0</v>
      </c>
      <c r="E74" s="4">
        <f t="shared" si="86"/>
        <v>1000000</v>
      </c>
      <c r="F74" s="4">
        <v>1000000</v>
      </c>
      <c r="G74" s="4">
        <v>0</v>
      </c>
      <c r="H74" s="4">
        <f t="shared" si="87"/>
        <v>1000000</v>
      </c>
      <c r="I74" s="4">
        <v>1000000</v>
      </c>
      <c r="J74" s="4">
        <v>0</v>
      </c>
      <c r="K74" s="4">
        <f t="shared" si="88"/>
        <v>1000000</v>
      </c>
      <c r="L74" s="4">
        <f>+'[1]Déficit P&amp;K feb16'!F72</f>
        <v>1000000</v>
      </c>
      <c r="M74" s="4">
        <v>4756000</v>
      </c>
      <c r="N74" s="4">
        <f t="shared" si="89"/>
        <v>-3756000</v>
      </c>
      <c r="O74" s="4">
        <f>+'[1]Déficit P&amp;K feb16'!G72</f>
        <v>1000000</v>
      </c>
      <c r="P74" s="4">
        <v>631900</v>
      </c>
      <c r="Q74" s="4">
        <f t="shared" si="114"/>
        <v>368100</v>
      </c>
      <c r="R74" s="4">
        <v>1000000</v>
      </c>
      <c r="S74" s="4">
        <v>0</v>
      </c>
      <c r="T74" s="4">
        <f t="shared" si="115"/>
        <v>1000000</v>
      </c>
      <c r="U74" s="4">
        <f>+'[1]Déficit P&amp;K feb16'!I72</f>
        <v>1000000</v>
      </c>
      <c r="V74" s="4">
        <v>3432000</v>
      </c>
      <c r="W74" s="4">
        <f t="shared" si="116"/>
        <v>-2432000</v>
      </c>
      <c r="X74" s="4">
        <f>+'[1]Déficit P&amp;K feb16'!J72</f>
        <v>1000000</v>
      </c>
      <c r="Y74" s="4">
        <v>4415000</v>
      </c>
      <c r="Z74" s="4">
        <f t="shared" si="117"/>
        <v>-3415000</v>
      </c>
      <c r="AA74" s="4">
        <f>+'[1]Déficit P&amp;K feb16'!K72</f>
        <v>1000000</v>
      </c>
      <c r="AB74" s="4">
        <v>1753000</v>
      </c>
      <c r="AC74" s="4">
        <f t="shared" si="94"/>
        <v>-753000</v>
      </c>
      <c r="AD74" s="4">
        <f>+'[1]Déficit P&amp;K feb16'!N72</f>
        <v>1000000</v>
      </c>
      <c r="AE74" s="4">
        <v>0</v>
      </c>
      <c r="AF74" s="4">
        <f t="shared" si="118"/>
        <v>1000000</v>
      </c>
      <c r="AG74" s="4">
        <f>+'[1]Déficit P&amp;K feb16'!M72</f>
        <v>1000000</v>
      </c>
      <c r="AH74" s="4"/>
      <c r="AI74" s="4">
        <f t="shared" si="119"/>
        <v>1000000</v>
      </c>
      <c r="AJ74" s="4">
        <f>+'[1]Déficit P&amp;K feb16'!N72</f>
        <v>1000000</v>
      </c>
      <c r="AK74" s="4"/>
      <c r="AL74" s="4">
        <f t="shared" si="120"/>
        <v>1000000</v>
      </c>
      <c r="AM74" s="4">
        <f t="shared" si="98"/>
        <v>12000000</v>
      </c>
      <c r="AN74" s="4">
        <f t="shared" si="98"/>
        <v>14987900</v>
      </c>
      <c r="AO74" s="4">
        <f t="shared" si="121"/>
        <v>-2987900</v>
      </c>
      <c r="AP74" s="21">
        <f t="shared" si="112"/>
        <v>-0.24899166666666667</v>
      </c>
      <c r="AQ74" s="38"/>
      <c r="AR74" s="39"/>
      <c r="AS74" s="39"/>
      <c r="AT74" s="39"/>
    </row>
    <row r="75" spans="1:46" x14ac:dyDescent="0.25">
      <c r="A75" s="5" t="s">
        <v>49</v>
      </c>
      <c r="B75" s="4">
        <f t="shared" si="113"/>
        <v>243623999.99999997</v>
      </c>
      <c r="C75" s="4">
        <v>20301999.999999996</v>
      </c>
      <c r="D75" s="4">
        <v>0</v>
      </c>
      <c r="E75" s="4">
        <f t="shared" si="86"/>
        <v>20301999.999999996</v>
      </c>
      <c r="F75" s="4">
        <v>20301999.999999996</v>
      </c>
      <c r="G75" s="4">
        <v>0</v>
      </c>
      <c r="H75" s="4">
        <f t="shared" si="87"/>
        <v>20301999.999999996</v>
      </c>
      <c r="I75" s="4">
        <v>20301999.999999996</v>
      </c>
      <c r="J75" s="4">
        <v>0</v>
      </c>
      <c r="K75" s="4">
        <f t="shared" si="88"/>
        <v>20301999.999999996</v>
      </c>
      <c r="L75" s="4">
        <f>+'[1]Déficit P&amp;K feb16'!F73</f>
        <v>20301999.999999996</v>
      </c>
      <c r="M75" s="4">
        <v>0</v>
      </c>
      <c r="N75" s="4">
        <f t="shared" si="89"/>
        <v>20301999.999999996</v>
      </c>
      <c r="O75" s="4">
        <f>+'[1]Déficit P&amp;K feb16'!G73</f>
        <v>20301999.999999996</v>
      </c>
      <c r="P75" s="4">
        <v>0</v>
      </c>
      <c r="Q75" s="4">
        <f t="shared" si="114"/>
        <v>20301999.999999996</v>
      </c>
      <c r="R75" s="4">
        <v>20301999.999999996</v>
      </c>
      <c r="S75" s="4">
        <v>0</v>
      </c>
      <c r="T75" s="4">
        <f t="shared" si="115"/>
        <v>20301999.999999996</v>
      </c>
      <c r="U75" s="4">
        <f>+'[1]Déficit P&amp;K feb16'!I73</f>
        <v>20301999.999999996</v>
      </c>
      <c r="V75" s="4">
        <v>0</v>
      </c>
      <c r="W75" s="4">
        <f t="shared" si="116"/>
        <v>20301999.999999996</v>
      </c>
      <c r="X75" s="4">
        <f>+'[1]Déficit P&amp;K feb16'!J73</f>
        <v>20301999.999999996</v>
      </c>
      <c r="Y75" s="4"/>
      <c r="Z75" s="4">
        <f t="shared" si="117"/>
        <v>20301999.999999996</v>
      </c>
      <c r="AA75" s="4">
        <f>+'[1]Déficit P&amp;K feb16'!K73</f>
        <v>20301999.999999996</v>
      </c>
      <c r="AB75" s="4">
        <v>0</v>
      </c>
      <c r="AC75" s="4">
        <f t="shared" si="94"/>
        <v>20301999.999999996</v>
      </c>
      <c r="AD75" s="4">
        <f>+'[1]Déficit P&amp;K feb16'!N73</f>
        <v>20301999.999999996</v>
      </c>
      <c r="AE75" s="4">
        <v>0</v>
      </c>
      <c r="AF75" s="4">
        <f t="shared" si="118"/>
        <v>20301999.999999996</v>
      </c>
      <c r="AG75" s="4">
        <f>+'[1]Déficit P&amp;K feb16'!M73</f>
        <v>20301999.999999996</v>
      </c>
      <c r="AH75" s="4"/>
      <c r="AI75" s="4">
        <f t="shared" si="119"/>
        <v>20301999.999999996</v>
      </c>
      <c r="AJ75" s="4">
        <f>+'[1]Déficit P&amp;K feb16'!N73</f>
        <v>20301999.999999996</v>
      </c>
      <c r="AK75" s="4">
        <v>0</v>
      </c>
      <c r="AL75" s="4">
        <f t="shared" si="120"/>
        <v>20301999.999999996</v>
      </c>
      <c r="AM75" s="4">
        <f t="shared" si="98"/>
        <v>243623999.99999997</v>
      </c>
      <c r="AN75" s="4">
        <f t="shared" si="98"/>
        <v>0</v>
      </c>
      <c r="AO75" s="4">
        <f t="shared" si="121"/>
        <v>243623999.99999997</v>
      </c>
      <c r="AP75" s="21">
        <f t="shared" si="112"/>
        <v>1</v>
      </c>
      <c r="AQ75" s="38"/>
      <c r="AR75" s="39"/>
      <c r="AS75" s="39"/>
      <c r="AT75" s="39"/>
    </row>
    <row r="76" spans="1:46" x14ac:dyDescent="0.25">
      <c r="A76" s="5" t="s">
        <v>50</v>
      </c>
      <c r="B76" s="4">
        <f t="shared" si="113"/>
        <v>3197564.9999999995</v>
      </c>
      <c r="C76" s="4">
        <v>0</v>
      </c>
      <c r="D76" s="4">
        <v>0</v>
      </c>
      <c r="E76" s="4">
        <f t="shared" si="86"/>
        <v>0</v>
      </c>
      <c r="F76" s="4">
        <v>639512.99999999988</v>
      </c>
      <c r="G76" s="4">
        <v>0</v>
      </c>
      <c r="H76" s="4">
        <f t="shared" si="87"/>
        <v>639512.99999999988</v>
      </c>
      <c r="I76" s="4">
        <v>639512.99999999988</v>
      </c>
      <c r="J76" s="4">
        <v>0</v>
      </c>
      <c r="K76" s="4">
        <f t="shared" si="88"/>
        <v>639512.99999999988</v>
      </c>
      <c r="L76" s="4">
        <f>+'[1]Déficit P&amp;K feb16'!F74</f>
        <v>639512.99999999988</v>
      </c>
      <c r="M76" s="4">
        <v>0</v>
      </c>
      <c r="N76" s="4">
        <f t="shared" si="89"/>
        <v>639512.99999999988</v>
      </c>
      <c r="O76" s="4">
        <f>+'[1]Déficit P&amp;K feb16'!G74</f>
        <v>639512.99999999988</v>
      </c>
      <c r="P76" s="4">
        <v>0</v>
      </c>
      <c r="Q76" s="4">
        <f t="shared" si="114"/>
        <v>639512.99999999988</v>
      </c>
      <c r="R76" s="4">
        <v>639512.99999999988</v>
      </c>
      <c r="S76" s="4">
        <v>0</v>
      </c>
      <c r="T76" s="4">
        <f t="shared" si="115"/>
        <v>639512.99999999988</v>
      </c>
      <c r="U76" s="4">
        <f>+'[1]Déficit P&amp;K feb16'!I74</f>
        <v>0</v>
      </c>
      <c r="V76" s="4">
        <v>0</v>
      </c>
      <c r="W76" s="4">
        <f t="shared" si="116"/>
        <v>0</v>
      </c>
      <c r="X76" s="4">
        <f>+'[1]Déficit P&amp;K feb16'!J74</f>
        <v>0</v>
      </c>
      <c r="Y76" s="4"/>
      <c r="Z76" s="4">
        <f t="shared" si="117"/>
        <v>0</v>
      </c>
      <c r="AA76" s="4">
        <f>+'[1]Déficit P&amp;K feb16'!K74</f>
        <v>0</v>
      </c>
      <c r="AB76" s="4">
        <v>0</v>
      </c>
      <c r="AC76" s="4">
        <f t="shared" si="94"/>
        <v>0</v>
      </c>
      <c r="AD76" s="4">
        <f>+'[1]Déficit P&amp;K feb16'!N74</f>
        <v>0</v>
      </c>
      <c r="AE76" s="4">
        <v>0</v>
      </c>
      <c r="AF76" s="4">
        <f t="shared" si="118"/>
        <v>0</v>
      </c>
      <c r="AG76" s="4">
        <f>+'[1]Déficit P&amp;K feb16'!M74</f>
        <v>0</v>
      </c>
      <c r="AH76" s="4"/>
      <c r="AI76" s="4">
        <f t="shared" si="119"/>
        <v>0</v>
      </c>
      <c r="AJ76" s="4">
        <f>+'[1]Déficit P&amp;K feb16'!N74</f>
        <v>0</v>
      </c>
      <c r="AK76" s="4"/>
      <c r="AL76" s="4">
        <f t="shared" si="120"/>
        <v>0</v>
      </c>
      <c r="AM76" s="4">
        <f t="shared" si="98"/>
        <v>3197564.9999999995</v>
      </c>
      <c r="AN76" s="4">
        <f t="shared" si="98"/>
        <v>0</v>
      </c>
      <c r="AO76" s="4">
        <f t="shared" si="121"/>
        <v>3197564.9999999995</v>
      </c>
      <c r="AP76" s="21">
        <f t="shared" si="112"/>
        <v>1</v>
      </c>
      <c r="AQ76" s="38"/>
      <c r="AR76" s="39"/>
      <c r="AS76" s="39"/>
      <c r="AT76" s="39"/>
    </row>
    <row r="77" spans="1:46" x14ac:dyDescent="0.25">
      <c r="A77" s="5" t="s">
        <v>106</v>
      </c>
      <c r="B77" s="4">
        <f t="shared" si="113"/>
        <v>12668448</v>
      </c>
      <c r="C77" s="4">
        <v>1055704</v>
      </c>
      <c r="D77" s="4">
        <v>0</v>
      </c>
      <c r="E77" s="4">
        <f t="shared" si="86"/>
        <v>1055704</v>
      </c>
      <c r="F77" s="4">
        <v>1055704</v>
      </c>
      <c r="G77" s="4">
        <v>0</v>
      </c>
      <c r="H77" s="4">
        <f t="shared" si="87"/>
        <v>1055704</v>
      </c>
      <c r="I77" s="4">
        <v>1055704</v>
      </c>
      <c r="J77" s="4">
        <v>0</v>
      </c>
      <c r="K77" s="4">
        <f t="shared" si="88"/>
        <v>1055704</v>
      </c>
      <c r="L77" s="4">
        <f>+'[1]Déficit P&amp;K feb16'!F75</f>
        <v>1055704</v>
      </c>
      <c r="M77" s="4">
        <v>3492175</v>
      </c>
      <c r="N77" s="4">
        <f t="shared" si="89"/>
        <v>-2436471</v>
      </c>
      <c r="O77" s="4">
        <f>+'[1]Déficit P&amp;K feb16'!G75</f>
        <v>1055704</v>
      </c>
      <c r="P77" s="4">
        <v>1500000</v>
      </c>
      <c r="Q77" s="4">
        <f t="shared" si="114"/>
        <v>-444296</v>
      </c>
      <c r="R77" s="4">
        <v>1055704</v>
      </c>
      <c r="S77" s="4">
        <v>2094543</v>
      </c>
      <c r="T77" s="4">
        <f t="shared" si="115"/>
        <v>-1038839</v>
      </c>
      <c r="U77" s="4">
        <f>+'[1]Déficit P&amp;K feb16'!I75</f>
        <v>1055704</v>
      </c>
      <c r="V77" s="4">
        <v>1469300</v>
      </c>
      <c r="W77" s="4">
        <f t="shared" si="116"/>
        <v>-413596</v>
      </c>
      <c r="X77" s="4">
        <f>+'[1]Déficit P&amp;K feb16'!J75</f>
        <v>1055704</v>
      </c>
      <c r="Y77" s="4">
        <v>150000</v>
      </c>
      <c r="Z77" s="4">
        <f t="shared" si="117"/>
        <v>905704</v>
      </c>
      <c r="AA77" s="4">
        <f>+'[1]Déficit P&amp;K feb16'!K75</f>
        <v>1055704</v>
      </c>
      <c r="AB77" s="4">
        <v>2027200</v>
      </c>
      <c r="AC77" s="4">
        <f t="shared" si="94"/>
        <v>-971496</v>
      </c>
      <c r="AD77" s="4">
        <f>+'[1]Déficit P&amp;K feb16'!N75</f>
        <v>1055704</v>
      </c>
      <c r="AE77" s="4">
        <v>1650000</v>
      </c>
      <c r="AF77" s="4">
        <f t="shared" si="118"/>
        <v>-594296</v>
      </c>
      <c r="AG77" s="4">
        <f>+'[1]Déficit P&amp;K feb16'!M75</f>
        <v>1055704</v>
      </c>
      <c r="AH77" s="4">
        <v>8600090</v>
      </c>
      <c r="AI77" s="4">
        <f t="shared" si="119"/>
        <v>-7544386</v>
      </c>
      <c r="AJ77" s="4">
        <f>+'[1]Déficit P&amp;K feb16'!N75</f>
        <v>1055704</v>
      </c>
      <c r="AK77" s="4">
        <v>2766600</v>
      </c>
      <c r="AL77" s="4">
        <f t="shared" si="120"/>
        <v>-1710896</v>
      </c>
      <c r="AM77" s="4">
        <f t="shared" si="98"/>
        <v>12668448</v>
      </c>
      <c r="AN77" s="4">
        <f t="shared" si="98"/>
        <v>23749908</v>
      </c>
      <c r="AO77" s="4">
        <f t="shared" si="121"/>
        <v>-11081460</v>
      </c>
      <c r="AP77" s="21">
        <f t="shared" si="112"/>
        <v>-0.87472909072997729</v>
      </c>
      <c r="AQ77" s="38"/>
      <c r="AR77" s="39"/>
      <c r="AS77" s="39"/>
      <c r="AT77" s="39"/>
    </row>
    <row r="78" spans="1:46" x14ac:dyDescent="0.25">
      <c r="A78" s="19" t="s">
        <v>51</v>
      </c>
      <c r="B78" s="4">
        <f t="shared" si="113"/>
        <v>6090599.9999999991</v>
      </c>
      <c r="C78" s="4">
        <v>507549.99999999994</v>
      </c>
      <c r="D78" s="4">
        <v>0</v>
      </c>
      <c r="E78" s="4">
        <f t="shared" si="86"/>
        <v>507549.99999999994</v>
      </c>
      <c r="F78" s="4">
        <v>507549.99999999994</v>
      </c>
      <c r="G78" s="4">
        <v>0</v>
      </c>
      <c r="H78" s="4">
        <f t="shared" si="87"/>
        <v>507549.99999999994</v>
      </c>
      <c r="I78" s="4">
        <v>507549.99999999994</v>
      </c>
      <c r="J78" s="4">
        <v>0</v>
      </c>
      <c r="K78" s="4">
        <f t="shared" si="88"/>
        <v>507549.99999999994</v>
      </c>
      <c r="L78" s="4">
        <f>+'[1]Déficit P&amp;K feb16'!F76</f>
        <v>507549.99999999994</v>
      </c>
      <c r="M78" s="4">
        <v>0</v>
      </c>
      <c r="N78" s="4">
        <f t="shared" si="89"/>
        <v>507549.99999999994</v>
      </c>
      <c r="O78" s="4">
        <f>+'[1]Déficit P&amp;K feb16'!G76</f>
        <v>507549.99999999994</v>
      </c>
      <c r="P78" s="4">
        <v>0</v>
      </c>
      <c r="Q78" s="4">
        <f t="shared" si="114"/>
        <v>507549.99999999994</v>
      </c>
      <c r="R78" s="4">
        <v>507549.99999999994</v>
      </c>
      <c r="S78" s="4">
        <v>0</v>
      </c>
      <c r="T78" s="4">
        <f t="shared" si="115"/>
        <v>507549.99999999994</v>
      </c>
      <c r="U78" s="4">
        <f>+'[1]Déficit P&amp;K feb16'!I76</f>
        <v>507549.99999999994</v>
      </c>
      <c r="V78" s="4">
        <v>0</v>
      </c>
      <c r="W78" s="4">
        <f t="shared" si="116"/>
        <v>507549.99999999994</v>
      </c>
      <c r="X78" s="4">
        <f>+'[1]Déficit P&amp;K feb16'!J76</f>
        <v>507549.99999999994</v>
      </c>
      <c r="Y78" s="4"/>
      <c r="Z78" s="4">
        <f t="shared" si="117"/>
        <v>507549.99999999994</v>
      </c>
      <c r="AA78" s="4">
        <f>+'[1]Déficit P&amp;K feb16'!K76</f>
        <v>507549.99999999994</v>
      </c>
      <c r="AB78" s="4">
        <v>0</v>
      </c>
      <c r="AC78" s="4">
        <f t="shared" si="94"/>
        <v>507549.99999999994</v>
      </c>
      <c r="AD78" s="4">
        <f>+'[1]Déficit P&amp;K feb16'!N76</f>
        <v>507549.99999999994</v>
      </c>
      <c r="AE78" s="4">
        <v>0</v>
      </c>
      <c r="AF78" s="4">
        <f t="shared" si="118"/>
        <v>507549.99999999994</v>
      </c>
      <c r="AG78" s="4">
        <f>+'[1]Déficit P&amp;K feb16'!M76</f>
        <v>507549.99999999994</v>
      </c>
      <c r="AH78" s="4"/>
      <c r="AI78" s="4">
        <f t="shared" si="119"/>
        <v>507549.99999999994</v>
      </c>
      <c r="AJ78" s="4">
        <f>+'[1]Déficit P&amp;K feb16'!N76</f>
        <v>507549.99999999994</v>
      </c>
      <c r="AK78" s="4"/>
      <c r="AL78" s="4">
        <f t="shared" si="120"/>
        <v>507549.99999999994</v>
      </c>
      <c r="AM78" s="4">
        <f t="shared" si="98"/>
        <v>6090599.9999999991</v>
      </c>
      <c r="AN78" s="4">
        <f t="shared" si="98"/>
        <v>0</v>
      </c>
      <c r="AO78" s="4">
        <f t="shared" si="121"/>
        <v>6090599.9999999991</v>
      </c>
      <c r="AP78" s="21">
        <f t="shared" si="112"/>
        <v>1</v>
      </c>
      <c r="AQ78" s="38"/>
      <c r="AR78" s="39"/>
      <c r="AS78" s="39"/>
      <c r="AT78" s="39"/>
    </row>
    <row r="79" spans="1:46" x14ac:dyDescent="0.25">
      <c r="A79" s="19" t="s">
        <v>52</v>
      </c>
      <c r="B79" s="4">
        <f t="shared" si="113"/>
        <v>12181199.999999998</v>
      </c>
      <c r="C79" s="4">
        <v>0</v>
      </c>
      <c r="D79" s="4">
        <v>0</v>
      </c>
      <c r="E79" s="4">
        <f t="shared" si="86"/>
        <v>0</v>
      </c>
      <c r="F79" s="4">
        <v>2030199.9999999998</v>
      </c>
      <c r="G79" s="4">
        <v>0</v>
      </c>
      <c r="H79" s="4">
        <f t="shared" si="87"/>
        <v>2030199.9999999998</v>
      </c>
      <c r="I79" s="4">
        <v>0</v>
      </c>
      <c r="J79" s="4">
        <v>0</v>
      </c>
      <c r="K79" s="4">
        <f t="shared" si="88"/>
        <v>0</v>
      </c>
      <c r="L79" s="4">
        <f>+'[1]Déficit P&amp;K feb16'!F77</f>
        <v>2030199.9999999998</v>
      </c>
      <c r="M79" s="4">
        <v>0</v>
      </c>
      <c r="N79" s="4">
        <f t="shared" si="89"/>
        <v>2030199.9999999998</v>
      </c>
      <c r="O79" s="4">
        <f>+'[1]Déficit P&amp;K feb16'!G77</f>
        <v>0</v>
      </c>
      <c r="P79" s="4">
        <v>0</v>
      </c>
      <c r="Q79" s="4">
        <f t="shared" si="114"/>
        <v>0</v>
      </c>
      <c r="R79" s="4">
        <v>2030199.9999999998</v>
      </c>
      <c r="S79" s="4">
        <v>0</v>
      </c>
      <c r="T79" s="4">
        <f t="shared" si="115"/>
        <v>2030199.9999999998</v>
      </c>
      <c r="U79" s="4">
        <f>+'[1]Déficit P&amp;K feb16'!I77</f>
        <v>0</v>
      </c>
      <c r="V79" s="4">
        <v>0</v>
      </c>
      <c r="W79" s="4">
        <f t="shared" si="116"/>
        <v>0</v>
      </c>
      <c r="X79" s="4">
        <f>+'[1]Déficit P&amp;K feb16'!J77</f>
        <v>2030199.9999999998</v>
      </c>
      <c r="Y79" s="4"/>
      <c r="Z79" s="4">
        <f t="shared" si="117"/>
        <v>2030199.9999999998</v>
      </c>
      <c r="AA79" s="4">
        <f>+'[1]Déficit P&amp;K feb16'!K77</f>
        <v>0</v>
      </c>
      <c r="AB79" s="4">
        <v>0</v>
      </c>
      <c r="AC79" s="4">
        <f t="shared" si="94"/>
        <v>0</v>
      </c>
      <c r="AD79" s="4">
        <f>+'[1]Déficit P&amp;K feb16'!N77</f>
        <v>2030199.9999999998</v>
      </c>
      <c r="AE79" s="4">
        <v>0</v>
      </c>
      <c r="AF79" s="4">
        <f t="shared" si="118"/>
        <v>2030199.9999999998</v>
      </c>
      <c r="AG79" s="4">
        <f>+'[1]Déficit P&amp;K feb16'!M77</f>
        <v>0</v>
      </c>
      <c r="AH79" s="4"/>
      <c r="AI79" s="4">
        <f t="shared" si="119"/>
        <v>0</v>
      </c>
      <c r="AJ79" s="4">
        <f>+'[1]Déficit P&amp;K feb16'!N77</f>
        <v>2030199.9999999998</v>
      </c>
      <c r="AK79" s="4"/>
      <c r="AL79" s="4">
        <f t="shared" si="120"/>
        <v>2030199.9999999998</v>
      </c>
      <c r="AM79" s="4">
        <f t="shared" si="98"/>
        <v>12181199.999999998</v>
      </c>
      <c r="AN79" s="4">
        <f t="shared" si="98"/>
        <v>0</v>
      </c>
      <c r="AO79" s="4">
        <f t="shared" si="121"/>
        <v>12181199.999999998</v>
      </c>
      <c r="AP79" s="21">
        <f t="shared" si="112"/>
        <v>1</v>
      </c>
      <c r="AQ79" s="38"/>
      <c r="AR79" s="39"/>
      <c r="AS79" s="39"/>
      <c r="AT79" s="39"/>
    </row>
    <row r="80" spans="1:46" ht="60" x14ac:dyDescent="0.25">
      <c r="A80" s="19" t="s">
        <v>53</v>
      </c>
      <c r="B80" s="4">
        <f t="shared" si="113"/>
        <v>15000000</v>
      </c>
      <c r="C80" s="4">
        <v>0</v>
      </c>
      <c r="D80" s="4">
        <v>0</v>
      </c>
      <c r="E80" s="4">
        <f t="shared" si="86"/>
        <v>0</v>
      </c>
      <c r="F80" s="4">
        <v>2500000</v>
      </c>
      <c r="G80" s="4">
        <v>0</v>
      </c>
      <c r="H80" s="4">
        <f t="shared" si="87"/>
        <v>2500000</v>
      </c>
      <c r="I80" s="4">
        <v>0</v>
      </c>
      <c r="J80" s="4">
        <v>3800000</v>
      </c>
      <c r="K80" s="4">
        <f t="shared" si="88"/>
        <v>-3800000</v>
      </c>
      <c r="L80" s="4">
        <f>+'[1]Déficit P&amp;K feb16'!F78</f>
        <v>2500000</v>
      </c>
      <c r="M80" s="4">
        <v>5252000</v>
      </c>
      <c r="N80" s="4">
        <f t="shared" si="89"/>
        <v>-2752000</v>
      </c>
      <c r="O80" s="4">
        <f>+'[1]Déficit P&amp;K feb16'!G78</f>
        <v>0</v>
      </c>
      <c r="P80" s="4">
        <v>0</v>
      </c>
      <c r="Q80" s="4">
        <f t="shared" si="114"/>
        <v>0</v>
      </c>
      <c r="R80" s="4">
        <v>2500000</v>
      </c>
      <c r="S80" s="4">
        <v>0</v>
      </c>
      <c r="T80" s="4">
        <f t="shared" si="115"/>
        <v>2500000</v>
      </c>
      <c r="U80" s="4">
        <f>+'[1]Déficit P&amp;K feb16'!I78</f>
        <v>0</v>
      </c>
      <c r="V80" s="4">
        <v>0</v>
      </c>
      <c r="W80" s="4">
        <f t="shared" si="116"/>
        <v>0</v>
      </c>
      <c r="X80" s="4">
        <f>+'[1]Déficit P&amp;K feb16'!J78</f>
        <v>2500000</v>
      </c>
      <c r="Y80" s="4"/>
      <c r="Z80" s="4">
        <f t="shared" si="117"/>
        <v>2500000</v>
      </c>
      <c r="AA80" s="4">
        <f>+'[1]Déficit P&amp;K feb16'!K78</f>
        <v>0</v>
      </c>
      <c r="AB80" s="4">
        <v>0</v>
      </c>
      <c r="AC80" s="4">
        <f t="shared" si="94"/>
        <v>0</v>
      </c>
      <c r="AD80" s="4">
        <f>+'[1]Déficit P&amp;K feb16'!N78</f>
        <v>2500000</v>
      </c>
      <c r="AE80" s="4">
        <v>0</v>
      </c>
      <c r="AF80" s="4">
        <f t="shared" si="118"/>
        <v>2500000</v>
      </c>
      <c r="AG80" s="4">
        <f>+'[1]Déficit P&amp;K feb16'!M78</f>
        <v>0</v>
      </c>
      <c r="AH80" s="4"/>
      <c r="AI80" s="4">
        <f t="shared" si="119"/>
        <v>0</v>
      </c>
      <c r="AJ80" s="4">
        <f>+'[1]Déficit P&amp;K feb16'!N78</f>
        <v>2500000</v>
      </c>
      <c r="AK80" s="4">
        <v>8400000</v>
      </c>
      <c r="AL80" s="4">
        <f t="shared" si="120"/>
        <v>-5900000</v>
      </c>
      <c r="AM80" s="4">
        <f t="shared" si="98"/>
        <v>15000000</v>
      </c>
      <c r="AN80" s="4">
        <f t="shared" si="98"/>
        <v>17452000</v>
      </c>
      <c r="AO80" s="4">
        <f t="shared" si="121"/>
        <v>-2452000</v>
      </c>
      <c r="AP80" s="21">
        <f t="shared" si="112"/>
        <v>-0.16346666666666668</v>
      </c>
      <c r="AQ80" s="38"/>
      <c r="AR80" s="39"/>
      <c r="AS80" s="39"/>
      <c r="AT80" s="39"/>
    </row>
    <row r="81" spans="1:46" x14ac:dyDescent="0.25">
      <c r="A81" s="5" t="s">
        <v>54</v>
      </c>
      <c r="B81" s="4">
        <f t="shared" si="113"/>
        <v>15835559.999999998</v>
      </c>
      <c r="C81" s="4">
        <v>1319629.9999999998</v>
      </c>
      <c r="D81" s="4">
        <v>0</v>
      </c>
      <c r="E81" s="4">
        <f t="shared" si="86"/>
        <v>1319629.9999999998</v>
      </c>
      <c r="F81" s="4">
        <v>1319629.9999999998</v>
      </c>
      <c r="G81" s="4">
        <v>0</v>
      </c>
      <c r="H81" s="4">
        <f t="shared" si="87"/>
        <v>1319629.9999999998</v>
      </c>
      <c r="I81" s="4">
        <v>1319629.9999999998</v>
      </c>
      <c r="J81" s="4">
        <v>0</v>
      </c>
      <c r="K81" s="4">
        <f t="shared" si="88"/>
        <v>1319629.9999999998</v>
      </c>
      <c r="L81" s="4">
        <f>+'[1]Déficit P&amp;K feb16'!F79</f>
        <v>1319629.9999999998</v>
      </c>
      <c r="M81" s="4">
        <v>0</v>
      </c>
      <c r="N81" s="4">
        <f t="shared" si="89"/>
        <v>1319629.9999999998</v>
      </c>
      <c r="O81" s="4">
        <f>+'[1]Déficit P&amp;K feb16'!G79</f>
        <v>1319629.9999999998</v>
      </c>
      <c r="P81" s="4">
        <v>0</v>
      </c>
      <c r="Q81" s="4">
        <f t="shared" si="114"/>
        <v>1319629.9999999998</v>
      </c>
      <c r="R81" s="4">
        <v>1319629.9999999998</v>
      </c>
      <c r="S81" s="4">
        <v>0</v>
      </c>
      <c r="T81" s="4">
        <f t="shared" si="115"/>
        <v>1319629.9999999998</v>
      </c>
      <c r="U81" s="4">
        <f>+'[1]Déficit P&amp;K feb16'!I79</f>
        <v>1319629.9999999998</v>
      </c>
      <c r="V81" s="4">
        <v>0</v>
      </c>
      <c r="W81" s="4">
        <f t="shared" si="116"/>
        <v>1319629.9999999998</v>
      </c>
      <c r="X81" s="4">
        <f>+'[1]Déficit P&amp;K feb16'!J79</f>
        <v>1319629.9999999998</v>
      </c>
      <c r="Y81" s="4"/>
      <c r="Z81" s="4">
        <f t="shared" si="117"/>
        <v>1319629.9999999998</v>
      </c>
      <c r="AA81" s="4">
        <f>+'[1]Déficit P&amp;K feb16'!K79</f>
        <v>1319629.9999999998</v>
      </c>
      <c r="AB81" s="4">
        <v>0</v>
      </c>
      <c r="AC81" s="4">
        <f t="shared" si="94"/>
        <v>1319629.9999999998</v>
      </c>
      <c r="AD81" s="4">
        <f>+'[1]Déficit P&amp;K feb16'!N79</f>
        <v>1319629.9999999998</v>
      </c>
      <c r="AE81" s="4">
        <v>0</v>
      </c>
      <c r="AF81" s="4">
        <f t="shared" si="118"/>
        <v>1319629.9999999998</v>
      </c>
      <c r="AG81" s="4">
        <f>+'[1]Déficit P&amp;K feb16'!M79</f>
        <v>1319629.9999999998</v>
      </c>
      <c r="AH81" s="4"/>
      <c r="AI81" s="4">
        <f t="shared" si="119"/>
        <v>1319629.9999999998</v>
      </c>
      <c r="AJ81" s="4">
        <f>+'[1]Déficit P&amp;K feb16'!N79</f>
        <v>1319629.9999999998</v>
      </c>
      <c r="AK81" s="4"/>
      <c r="AL81" s="4">
        <f t="shared" si="120"/>
        <v>1319629.9999999998</v>
      </c>
      <c r="AM81" s="4">
        <f t="shared" si="98"/>
        <v>15835559.999999998</v>
      </c>
      <c r="AN81" s="4">
        <f t="shared" si="98"/>
        <v>0</v>
      </c>
      <c r="AO81" s="4">
        <f t="shared" si="121"/>
        <v>15835559.999999998</v>
      </c>
      <c r="AP81" s="21">
        <f t="shared" si="112"/>
        <v>1</v>
      </c>
      <c r="AQ81" s="38"/>
      <c r="AR81" s="39"/>
      <c r="AS81" s="39"/>
      <c r="AT81" s="39"/>
    </row>
    <row r="82" spans="1:46" x14ac:dyDescent="0.25">
      <c r="A82" s="5" t="s">
        <v>89</v>
      </c>
      <c r="B82" s="4">
        <f t="shared" si="113"/>
        <v>12000000</v>
      </c>
      <c r="C82" s="4"/>
      <c r="D82" s="4">
        <v>0</v>
      </c>
      <c r="E82" s="4">
        <f t="shared" si="86"/>
        <v>0</v>
      </c>
      <c r="F82" s="4">
        <v>0</v>
      </c>
      <c r="G82" s="4">
        <v>0</v>
      </c>
      <c r="H82" s="4">
        <f t="shared" si="87"/>
        <v>0</v>
      </c>
      <c r="I82" s="4">
        <v>6000000</v>
      </c>
      <c r="J82" s="4">
        <v>0</v>
      </c>
      <c r="K82" s="4">
        <f t="shared" si="88"/>
        <v>6000000</v>
      </c>
      <c r="L82" s="4">
        <f>+'[1]Déficit P&amp;K feb16'!F80</f>
        <v>6000000</v>
      </c>
      <c r="M82" s="4">
        <v>0</v>
      </c>
      <c r="N82" s="4">
        <f t="shared" si="89"/>
        <v>6000000</v>
      </c>
      <c r="O82" s="4">
        <f>+'[1]Déficit P&amp;K feb16'!G80</f>
        <v>0</v>
      </c>
      <c r="P82" s="4">
        <v>11544400</v>
      </c>
      <c r="Q82" s="4">
        <f t="shared" si="114"/>
        <v>-11544400</v>
      </c>
      <c r="R82" s="4">
        <v>0</v>
      </c>
      <c r="S82" s="4">
        <v>0</v>
      </c>
      <c r="T82" s="4">
        <f t="shared" si="115"/>
        <v>0</v>
      </c>
      <c r="U82" s="4">
        <f>+'[1]Déficit P&amp;K feb16'!I80</f>
        <v>0</v>
      </c>
      <c r="V82" s="4">
        <v>0</v>
      </c>
      <c r="W82" s="4">
        <f t="shared" si="116"/>
        <v>0</v>
      </c>
      <c r="X82" s="4">
        <f>+'[1]Déficit P&amp;K feb16'!J80</f>
        <v>0</v>
      </c>
      <c r="Y82" s="4"/>
      <c r="Z82" s="4">
        <f t="shared" si="117"/>
        <v>0</v>
      </c>
      <c r="AA82" s="4">
        <f>+'[1]Déficit P&amp;K feb16'!K80</f>
        <v>0</v>
      </c>
      <c r="AB82" s="4">
        <v>0</v>
      </c>
      <c r="AC82" s="4">
        <f t="shared" si="94"/>
        <v>0</v>
      </c>
      <c r="AD82" s="4">
        <f>+'[1]Déficit P&amp;K feb16'!N80</f>
        <v>0</v>
      </c>
      <c r="AE82" s="4">
        <v>0</v>
      </c>
      <c r="AF82" s="4">
        <f t="shared" si="118"/>
        <v>0</v>
      </c>
      <c r="AG82" s="4">
        <f>+'[1]Déficit P&amp;K feb16'!M80</f>
        <v>0</v>
      </c>
      <c r="AH82" s="4"/>
      <c r="AI82" s="4">
        <f t="shared" si="119"/>
        <v>0</v>
      </c>
      <c r="AJ82" s="4">
        <f>+'[1]Déficit P&amp;K feb16'!N80</f>
        <v>0</v>
      </c>
      <c r="AK82" s="4">
        <v>6900000</v>
      </c>
      <c r="AL82" s="4">
        <f t="shared" si="120"/>
        <v>-6900000</v>
      </c>
      <c r="AM82" s="4">
        <f t="shared" si="98"/>
        <v>12000000</v>
      </c>
      <c r="AN82" s="4">
        <f t="shared" si="98"/>
        <v>18444400</v>
      </c>
      <c r="AO82" s="4">
        <f t="shared" si="121"/>
        <v>-6444400</v>
      </c>
      <c r="AP82" s="21">
        <f t="shared" si="112"/>
        <v>-0.53703333333333336</v>
      </c>
      <c r="AQ82" s="38"/>
      <c r="AR82" s="39"/>
      <c r="AS82" s="39"/>
      <c r="AT82" s="39"/>
    </row>
    <row r="83" spans="1:46" x14ac:dyDescent="0.25">
      <c r="A83" s="5" t="s">
        <v>55</v>
      </c>
      <c r="B83" s="4">
        <f t="shared" si="113"/>
        <v>48724799.999999993</v>
      </c>
      <c r="C83" s="4">
        <v>4060399.9999999995</v>
      </c>
      <c r="D83" s="4">
        <v>7995794</v>
      </c>
      <c r="E83" s="4">
        <f t="shared" si="86"/>
        <v>-3935394.0000000005</v>
      </c>
      <c r="F83" s="4">
        <v>4060399.9999999995</v>
      </c>
      <c r="G83" s="4">
        <v>4574412</v>
      </c>
      <c r="H83" s="4">
        <f t="shared" si="87"/>
        <v>-514012.00000000047</v>
      </c>
      <c r="I83" s="4">
        <v>4060399.9999999995</v>
      </c>
      <c r="J83" s="4">
        <v>3490649</v>
      </c>
      <c r="K83" s="4">
        <f t="shared" si="88"/>
        <v>569750.99999999953</v>
      </c>
      <c r="L83" s="4">
        <f>+'[1]Déficit P&amp;K feb16'!F81</f>
        <v>4060399.9999999995</v>
      </c>
      <c r="M83" s="4">
        <v>380452</v>
      </c>
      <c r="N83" s="4">
        <f t="shared" si="89"/>
        <v>3679947.9999999995</v>
      </c>
      <c r="O83" s="4">
        <f>+'[1]Déficit P&amp;K feb16'!G81</f>
        <v>4060399.9999999995</v>
      </c>
      <c r="P83" s="4">
        <f>2714800+76000</f>
        <v>2790800</v>
      </c>
      <c r="Q83" s="4">
        <f t="shared" si="114"/>
        <v>1269599.9999999995</v>
      </c>
      <c r="R83" s="4">
        <v>4060399.9999999995</v>
      </c>
      <c r="S83" s="4">
        <f>357494+735000+249000+964820+2854671</f>
        <v>5160985</v>
      </c>
      <c r="T83" s="4">
        <f t="shared" si="115"/>
        <v>-1100585.0000000005</v>
      </c>
      <c r="U83" s="4">
        <f>+'[1]Déficit P&amp;K feb16'!I81</f>
        <v>4060399.9999999995</v>
      </c>
      <c r="V83" s="4">
        <f>225990+1327940+403969+381415</f>
        <v>2339314</v>
      </c>
      <c r="W83" s="4">
        <f t="shared" si="116"/>
        <v>1721085.9999999995</v>
      </c>
      <c r="X83" s="4">
        <f>+'[1]Déficit P&amp;K feb16'!J81</f>
        <v>4060399.9999999995</v>
      </c>
      <c r="Y83" s="4">
        <f>87400+600557+353000+4573523+1100090</f>
        <v>6714570</v>
      </c>
      <c r="Z83" s="4">
        <f t="shared" si="117"/>
        <v>-2654170.0000000005</v>
      </c>
      <c r="AA83" s="4">
        <f>+'[1]Déficit P&amp;K feb16'!K81</f>
        <v>4060399.9999999995</v>
      </c>
      <c r="AB83" s="4">
        <f>423204+390000+81120+1981378+811608+28600</f>
        <v>3715910</v>
      </c>
      <c r="AC83" s="4">
        <f t="shared" si="94"/>
        <v>344489.99999999953</v>
      </c>
      <c r="AD83" s="4">
        <f>+'[1]Déficit P&amp;K feb16'!N81</f>
        <v>4060399.9999999995</v>
      </c>
      <c r="AE83" s="4">
        <f>87400+313502+1146160+2594922+521250+33000</f>
        <v>4696234</v>
      </c>
      <c r="AF83" s="4">
        <f t="shared" si="118"/>
        <v>-635834.00000000047</v>
      </c>
      <c r="AG83" s="4">
        <f>+'[1]Déficit P&amp;K feb16'!M81</f>
        <v>4060399.9999999995</v>
      </c>
      <c r="AH83" s="4">
        <f>87400+1174000+3115294+1257913</f>
        <v>5634607</v>
      </c>
      <c r="AI83" s="4">
        <f t="shared" si="119"/>
        <v>-1574207.0000000005</v>
      </c>
      <c r="AJ83" s="4">
        <f>+'[1]Déficit P&amp;K feb16'!N81</f>
        <v>4060399.9999999995</v>
      </c>
      <c r="AK83" s="4">
        <f>90200+204680+410000+149760+630000+5189117+2407123</f>
        <v>9080880</v>
      </c>
      <c r="AL83" s="4">
        <f t="shared" si="120"/>
        <v>-5020480</v>
      </c>
      <c r="AM83" s="4">
        <f t="shared" si="98"/>
        <v>48724799.999999993</v>
      </c>
      <c r="AN83" s="4">
        <f t="shared" si="98"/>
        <v>56574607</v>
      </c>
      <c r="AO83" s="4">
        <f t="shared" si="121"/>
        <v>-7849807.0000000075</v>
      </c>
      <c r="AP83" s="21">
        <f t="shared" si="112"/>
        <v>-0.16110496092339033</v>
      </c>
      <c r="AQ83" s="38"/>
      <c r="AR83" s="39"/>
      <c r="AS83" s="39"/>
      <c r="AT83" s="39"/>
    </row>
    <row r="84" spans="1:46" x14ac:dyDescent="0.25">
      <c r="A84" s="5" t="s">
        <v>56</v>
      </c>
      <c r="B84" s="4">
        <f t="shared" si="113"/>
        <v>18000000</v>
      </c>
      <c r="C84" s="4">
        <v>1500000</v>
      </c>
      <c r="D84" s="4">
        <v>184260</v>
      </c>
      <c r="E84" s="4">
        <f t="shared" si="86"/>
        <v>1315740</v>
      </c>
      <c r="F84" s="4">
        <v>1500000</v>
      </c>
      <c r="G84" s="4">
        <v>184649</v>
      </c>
      <c r="H84" s="4">
        <f t="shared" si="87"/>
        <v>1315351</v>
      </c>
      <c r="I84" s="4">
        <v>1500000</v>
      </c>
      <c r="J84" s="4">
        <v>277991</v>
      </c>
      <c r="K84" s="4">
        <f t="shared" si="88"/>
        <v>1222009</v>
      </c>
      <c r="L84" s="4">
        <f>+'[1]Déficit P&amp;K feb16'!F82</f>
        <v>1500000</v>
      </c>
      <c r="M84" s="4">
        <v>330853</v>
      </c>
      <c r="N84" s="4">
        <f t="shared" si="89"/>
        <v>1169147</v>
      </c>
      <c r="O84" s="4">
        <f>+'[1]Déficit P&amp;K feb16'!G82</f>
        <v>1500000</v>
      </c>
      <c r="P84" s="4">
        <v>363984</v>
      </c>
      <c r="Q84" s="4">
        <f t="shared" si="114"/>
        <v>1136016</v>
      </c>
      <c r="R84" s="4">
        <v>1500000</v>
      </c>
      <c r="S84" s="4">
        <v>499045</v>
      </c>
      <c r="T84" s="4">
        <f t="shared" si="115"/>
        <v>1000955</v>
      </c>
      <c r="U84" s="4">
        <f>+'[1]Déficit P&amp;K feb16'!I82</f>
        <v>1500000</v>
      </c>
      <c r="V84" s="4">
        <v>594282</v>
      </c>
      <c r="W84" s="4">
        <f t="shared" si="116"/>
        <v>905718</v>
      </c>
      <c r="X84" s="4">
        <f>+'[1]Déficit P&amp;K feb16'!J82</f>
        <v>1500000</v>
      </c>
      <c r="Y84" s="4">
        <v>4454105</v>
      </c>
      <c r="Z84" s="4">
        <f t="shared" si="117"/>
        <v>-2954105</v>
      </c>
      <c r="AA84" s="4">
        <f>+'[1]Déficit P&amp;K feb16'!K82</f>
        <v>1500000</v>
      </c>
      <c r="AB84" s="4">
        <v>990255</v>
      </c>
      <c r="AC84" s="4">
        <f t="shared" si="94"/>
        <v>509745</v>
      </c>
      <c r="AD84" s="4">
        <f>+'[1]Déficit P&amp;K feb16'!N82</f>
        <v>1500000</v>
      </c>
      <c r="AE84" s="4">
        <v>1180032</v>
      </c>
      <c r="AF84" s="4">
        <f t="shared" si="118"/>
        <v>319968</v>
      </c>
      <c r="AG84" s="4">
        <f>+'[1]Déficit P&amp;K feb16'!M82</f>
        <v>1500000</v>
      </c>
      <c r="AH84" s="4">
        <f>831604+403929</f>
        <v>1235533</v>
      </c>
      <c r="AI84" s="4">
        <f t="shared" si="119"/>
        <v>264467</v>
      </c>
      <c r="AJ84" s="4">
        <f>+'[1]Déficit P&amp;K feb16'!N82</f>
        <v>1500000</v>
      </c>
      <c r="AK84" s="4">
        <v>810702</v>
      </c>
      <c r="AL84" s="4">
        <f t="shared" si="120"/>
        <v>689298</v>
      </c>
      <c r="AM84" s="4">
        <f t="shared" si="98"/>
        <v>18000000</v>
      </c>
      <c r="AN84" s="4">
        <f t="shared" si="98"/>
        <v>11105691</v>
      </c>
      <c r="AO84" s="4">
        <f t="shared" si="121"/>
        <v>6894309</v>
      </c>
      <c r="AP84" s="21">
        <f t="shared" si="112"/>
        <v>0.38301716666666669</v>
      </c>
      <c r="AQ84" s="38"/>
      <c r="AR84" s="39"/>
      <c r="AS84" s="39"/>
      <c r="AT84" s="39"/>
    </row>
    <row r="85" spans="1:46" ht="15" hidden="1" customHeight="1" x14ac:dyDescent="0.25">
      <c r="A85" s="5" t="s">
        <v>84</v>
      </c>
      <c r="B85" s="4">
        <f t="shared" si="113"/>
        <v>0</v>
      </c>
      <c r="C85" s="4">
        <v>0</v>
      </c>
      <c r="D85" s="4">
        <v>0</v>
      </c>
      <c r="E85" s="4">
        <f t="shared" si="86"/>
        <v>0</v>
      </c>
      <c r="F85" s="4">
        <v>0</v>
      </c>
      <c r="G85" s="4">
        <v>0</v>
      </c>
      <c r="H85" s="4">
        <f t="shared" si="87"/>
        <v>0</v>
      </c>
      <c r="I85" s="4">
        <v>0</v>
      </c>
      <c r="J85" s="4"/>
      <c r="K85" s="4">
        <f t="shared" si="88"/>
        <v>0</v>
      </c>
      <c r="L85" s="4">
        <f>+'[1]Déficit P&amp;K feb16'!F83</f>
        <v>0</v>
      </c>
      <c r="M85" s="4">
        <v>0</v>
      </c>
      <c r="N85" s="4">
        <f t="shared" si="89"/>
        <v>0</v>
      </c>
      <c r="O85" s="4">
        <f>+'[1]Déficit P&amp;K feb16'!G83</f>
        <v>0</v>
      </c>
      <c r="P85" s="4">
        <v>0</v>
      </c>
      <c r="Q85" s="4">
        <f t="shared" si="114"/>
        <v>0</v>
      </c>
      <c r="R85" s="4">
        <v>0</v>
      </c>
      <c r="S85" s="4"/>
      <c r="T85" s="4">
        <f t="shared" si="115"/>
        <v>0</v>
      </c>
      <c r="U85" s="4">
        <f>+'[1]Déficit P&amp;K feb16'!I83</f>
        <v>0</v>
      </c>
      <c r="V85" s="4"/>
      <c r="W85" s="4">
        <f t="shared" si="116"/>
        <v>0</v>
      </c>
      <c r="X85" s="4">
        <f>+'[1]Déficit P&amp;K feb16'!J83</f>
        <v>0</v>
      </c>
      <c r="Y85" s="4"/>
      <c r="Z85" s="4">
        <f t="shared" si="117"/>
        <v>0</v>
      </c>
      <c r="AA85" s="4">
        <f>+'[1]Déficit P&amp;K feb16'!K83</f>
        <v>0</v>
      </c>
      <c r="AB85" s="4">
        <v>0</v>
      </c>
      <c r="AC85" s="4">
        <f t="shared" si="94"/>
        <v>0</v>
      </c>
      <c r="AD85" s="4">
        <f>+'[1]Déficit P&amp;K feb16'!N83</f>
        <v>0</v>
      </c>
      <c r="AE85" s="4"/>
      <c r="AF85" s="4">
        <f t="shared" si="118"/>
        <v>0</v>
      </c>
      <c r="AG85" s="4">
        <f>+'[1]Déficit P&amp;K feb16'!M83</f>
        <v>0</v>
      </c>
      <c r="AH85" s="4"/>
      <c r="AI85" s="4">
        <f t="shared" si="119"/>
        <v>0</v>
      </c>
      <c r="AJ85" s="4">
        <f>+'[1]Déficit P&amp;K feb16'!N83</f>
        <v>0</v>
      </c>
      <c r="AK85" s="4"/>
      <c r="AL85" s="4">
        <f t="shared" si="120"/>
        <v>0</v>
      </c>
      <c r="AM85" s="4">
        <f t="shared" si="98"/>
        <v>0</v>
      </c>
      <c r="AN85" s="4">
        <f t="shared" si="98"/>
        <v>0</v>
      </c>
      <c r="AO85" s="4">
        <f t="shared" si="121"/>
        <v>0</v>
      </c>
      <c r="AP85" s="21">
        <v>0</v>
      </c>
      <c r="AQ85" s="38"/>
      <c r="AR85" s="39"/>
      <c r="AS85" s="39"/>
      <c r="AT85" s="39"/>
    </row>
    <row r="86" spans="1:46" x14ac:dyDescent="0.25">
      <c r="A86" s="5" t="s">
        <v>60</v>
      </c>
      <c r="B86" s="4">
        <f t="shared" si="113"/>
        <v>24000000</v>
      </c>
      <c r="C86" s="4">
        <v>2000000</v>
      </c>
      <c r="D86" s="4">
        <v>2000000</v>
      </c>
      <c r="E86" s="4">
        <f t="shared" si="86"/>
        <v>0</v>
      </c>
      <c r="F86" s="4">
        <v>2000000</v>
      </c>
      <c r="G86" s="4">
        <v>2000000</v>
      </c>
      <c r="H86" s="4">
        <f t="shared" si="87"/>
        <v>0</v>
      </c>
      <c r="I86" s="4">
        <v>2000000</v>
      </c>
      <c r="J86" s="4">
        <v>2000000</v>
      </c>
      <c r="K86" s="4">
        <f t="shared" si="88"/>
        <v>0</v>
      </c>
      <c r="L86" s="4">
        <f>+'[1]Déficit P&amp;K feb16'!F84</f>
        <v>2000000</v>
      </c>
      <c r="M86" s="4">
        <v>2000000</v>
      </c>
      <c r="N86" s="4">
        <f t="shared" si="89"/>
        <v>0</v>
      </c>
      <c r="O86" s="4">
        <f>+'[1]Déficit P&amp;K feb16'!G84</f>
        <v>2000000</v>
      </c>
      <c r="P86" s="4">
        <v>2000000</v>
      </c>
      <c r="Q86" s="4">
        <f t="shared" si="114"/>
        <v>0</v>
      </c>
      <c r="R86" s="4">
        <v>2000000</v>
      </c>
      <c r="S86" s="4">
        <v>2000000</v>
      </c>
      <c r="T86" s="4">
        <f t="shared" si="115"/>
        <v>0</v>
      </c>
      <c r="U86" s="4">
        <f>+'[1]Déficit P&amp;K feb16'!I84</f>
        <v>2000000</v>
      </c>
      <c r="V86" s="4">
        <v>2000000</v>
      </c>
      <c r="W86" s="4">
        <f t="shared" si="116"/>
        <v>0</v>
      </c>
      <c r="X86" s="4">
        <f>+'[1]Déficit P&amp;K feb16'!J84</f>
        <v>2000000</v>
      </c>
      <c r="Y86" s="4">
        <v>2000000</v>
      </c>
      <c r="Z86" s="4">
        <f t="shared" si="117"/>
        <v>0</v>
      </c>
      <c r="AA86" s="4">
        <f>+'[1]Déficit P&amp;K feb16'!K84</f>
        <v>2000000</v>
      </c>
      <c r="AB86" s="4">
        <v>2000000</v>
      </c>
      <c r="AC86" s="4">
        <f t="shared" si="94"/>
        <v>0</v>
      </c>
      <c r="AD86" s="4">
        <f>+'[1]Déficit P&amp;K feb16'!N84</f>
        <v>2000000</v>
      </c>
      <c r="AE86" s="4">
        <v>2000000</v>
      </c>
      <c r="AF86" s="4">
        <f t="shared" si="118"/>
        <v>0</v>
      </c>
      <c r="AG86" s="4">
        <f>+'[1]Déficit P&amp;K feb16'!M84</f>
        <v>2000000</v>
      </c>
      <c r="AH86" s="4">
        <v>2000000</v>
      </c>
      <c r="AI86" s="4">
        <f t="shared" si="119"/>
        <v>0</v>
      </c>
      <c r="AJ86" s="4">
        <f>+'[1]Déficit P&amp;K feb16'!N84</f>
        <v>2000000</v>
      </c>
      <c r="AK86" s="4">
        <v>2000000</v>
      </c>
      <c r="AL86" s="4">
        <f t="shared" si="120"/>
        <v>0</v>
      </c>
      <c r="AM86" s="4">
        <f t="shared" si="98"/>
        <v>24000000</v>
      </c>
      <c r="AN86" s="4">
        <f t="shared" si="98"/>
        <v>24000000</v>
      </c>
      <c r="AO86" s="4">
        <f t="shared" si="121"/>
        <v>0</v>
      </c>
      <c r="AP86" s="21">
        <f t="shared" si="112"/>
        <v>0</v>
      </c>
      <c r="AQ86" s="38"/>
      <c r="AR86" s="39"/>
      <c r="AS86" s="39"/>
      <c r="AT86" s="39"/>
    </row>
    <row r="87" spans="1:46" x14ac:dyDescent="0.25">
      <c r="A87" s="5" t="s">
        <v>61</v>
      </c>
      <c r="B87" s="4">
        <f t="shared" si="113"/>
        <v>678979362.60000014</v>
      </c>
      <c r="C87" s="4">
        <v>56581613.600000001</v>
      </c>
      <c r="D87" s="4">
        <v>53576000</v>
      </c>
      <c r="E87" s="4">
        <f t="shared" ref="E87" si="122">+C87-D87</f>
        <v>3005613.6000000015</v>
      </c>
      <c r="F87" s="4">
        <v>56581613</v>
      </c>
      <c r="G87" s="4">
        <v>53576000</v>
      </c>
      <c r="H87" s="4">
        <f t="shared" ref="H87" si="123">+F87-G87</f>
        <v>3005613</v>
      </c>
      <c r="I87" s="4">
        <v>56581613.600000001</v>
      </c>
      <c r="J87" s="4">
        <v>53576000</v>
      </c>
      <c r="K87" s="4">
        <f t="shared" ref="K87" si="124">+I87-J87</f>
        <v>3005613.6000000015</v>
      </c>
      <c r="L87" s="4">
        <f>+I87</f>
        <v>56581613.600000001</v>
      </c>
      <c r="M87" s="4">
        <v>53576000</v>
      </c>
      <c r="N87" s="4">
        <f t="shared" ref="N87" si="125">+L87-M87</f>
        <v>3005613.6000000015</v>
      </c>
      <c r="O87" s="4">
        <f>+L87</f>
        <v>56581613.600000001</v>
      </c>
      <c r="P87" s="4">
        <v>53576000</v>
      </c>
      <c r="Q87" s="4">
        <f t="shared" ref="Q87" si="126">+O87-P87</f>
        <v>3005613.6000000015</v>
      </c>
      <c r="R87" s="4">
        <v>56581613.600000001</v>
      </c>
      <c r="S87" s="4">
        <v>53576000</v>
      </c>
      <c r="T87" s="4">
        <f t="shared" ref="T87" si="127">+R87-S87</f>
        <v>3005613.6000000015</v>
      </c>
      <c r="U87" s="4">
        <f>+'[1]Déficit P&amp;K feb16'!I85</f>
        <v>56581613.600000001</v>
      </c>
      <c r="V87" s="4">
        <v>53576000</v>
      </c>
      <c r="W87" s="4">
        <f t="shared" si="116"/>
        <v>3005613.6000000015</v>
      </c>
      <c r="X87" s="4">
        <f>+'[1]Déficit P&amp;K feb16'!J85</f>
        <v>56581613.600000001</v>
      </c>
      <c r="Y87" s="4">
        <v>53576000</v>
      </c>
      <c r="Z87" s="4">
        <f t="shared" si="117"/>
        <v>3005613.6000000015</v>
      </c>
      <c r="AA87" s="4">
        <f>+'[1]Déficit P&amp;K feb16'!K85</f>
        <v>56581613.600000001</v>
      </c>
      <c r="AB87" s="4">
        <v>53576000</v>
      </c>
      <c r="AC87" s="4">
        <f t="shared" si="94"/>
        <v>3005613.6000000015</v>
      </c>
      <c r="AD87" s="4">
        <f>+'[1]Déficit P&amp;K feb16'!N85</f>
        <v>56581613.600000001</v>
      </c>
      <c r="AE87" s="4">
        <v>53576000</v>
      </c>
      <c r="AF87" s="4">
        <f t="shared" si="118"/>
        <v>3005613.6000000015</v>
      </c>
      <c r="AG87" s="4">
        <f>+'[1]Déficit P&amp;K feb16'!M85</f>
        <v>56581613.600000001</v>
      </c>
      <c r="AH87" s="4">
        <v>53576000</v>
      </c>
      <c r="AI87" s="4">
        <f t="shared" si="119"/>
        <v>3005613.6000000015</v>
      </c>
      <c r="AJ87" s="4">
        <f>+'[1]Déficit P&amp;K feb16'!N85</f>
        <v>56581613.600000001</v>
      </c>
      <c r="AK87" s="4">
        <v>53576000</v>
      </c>
      <c r="AL87" s="4">
        <f t="shared" si="120"/>
        <v>3005613.6000000015</v>
      </c>
      <c r="AM87" s="4">
        <f t="shared" si="98"/>
        <v>678979362.60000014</v>
      </c>
      <c r="AN87" s="4">
        <f t="shared" si="98"/>
        <v>642912000</v>
      </c>
      <c r="AO87" s="4">
        <f t="shared" si="121"/>
        <v>36067362.600000143</v>
      </c>
      <c r="AP87" s="21">
        <f t="shared" si="112"/>
        <v>5.3119968863100955E-2</v>
      </c>
      <c r="AQ87" s="38"/>
      <c r="AR87" s="39"/>
      <c r="AS87" s="39"/>
      <c r="AT87" s="39"/>
    </row>
    <row r="88" spans="1:46" x14ac:dyDescent="0.25">
      <c r="A88" s="5" t="s">
        <v>111</v>
      </c>
      <c r="B88" s="4">
        <f t="shared" si="113"/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/>
      <c r="Y88" s="4">
        <v>23430000</v>
      </c>
      <c r="Z88" s="4">
        <f t="shared" si="117"/>
        <v>-23430000</v>
      </c>
      <c r="AA88" s="4">
        <v>0</v>
      </c>
      <c r="AB88" s="4">
        <v>0</v>
      </c>
      <c r="AC88" s="4">
        <f t="shared" si="94"/>
        <v>0</v>
      </c>
      <c r="AD88" s="4">
        <v>0</v>
      </c>
      <c r="AE88" s="4">
        <v>0</v>
      </c>
      <c r="AF88" s="4">
        <f t="shared" si="118"/>
        <v>0</v>
      </c>
      <c r="AG88" s="4">
        <v>0</v>
      </c>
      <c r="AH88" s="4"/>
      <c r="AI88" s="4">
        <f t="shared" si="119"/>
        <v>0</v>
      </c>
      <c r="AJ88" s="4">
        <v>0</v>
      </c>
      <c r="AK88" s="4">
        <v>0</v>
      </c>
      <c r="AL88" s="4">
        <f t="shared" si="120"/>
        <v>0</v>
      </c>
      <c r="AM88" s="4">
        <f t="shared" si="98"/>
        <v>0</v>
      </c>
      <c r="AN88" s="4">
        <f t="shared" si="98"/>
        <v>23430000</v>
      </c>
      <c r="AO88" s="4">
        <f t="shared" si="121"/>
        <v>-23430000</v>
      </c>
      <c r="AP88" s="21"/>
      <c r="AQ88" s="38"/>
      <c r="AR88" s="39"/>
      <c r="AS88" s="39"/>
      <c r="AT88" s="39"/>
    </row>
    <row r="89" spans="1:46" x14ac:dyDescent="0.25">
      <c r="A89" s="19" t="s">
        <v>108</v>
      </c>
      <c r="B89" s="4">
        <f t="shared" si="113"/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 t="shared" si="87"/>
        <v>0</v>
      </c>
      <c r="I89" s="4">
        <v>0</v>
      </c>
      <c r="J89" s="4">
        <v>0</v>
      </c>
      <c r="K89" s="4">
        <f t="shared" si="88"/>
        <v>0</v>
      </c>
      <c r="L89" s="4">
        <v>0</v>
      </c>
      <c r="M89" s="4">
        <v>0</v>
      </c>
      <c r="N89" s="4">
        <f t="shared" si="89"/>
        <v>0</v>
      </c>
      <c r="O89" s="4">
        <v>0</v>
      </c>
      <c r="P89" s="4">
        <v>0</v>
      </c>
      <c r="Q89" s="4">
        <f t="shared" si="114"/>
        <v>0</v>
      </c>
      <c r="R89" s="4">
        <v>0</v>
      </c>
      <c r="S89" s="4">
        <v>4118527.68</v>
      </c>
      <c r="T89" s="4">
        <f t="shared" si="115"/>
        <v>-4118527.68</v>
      </c>
      <c r="U89" s="4">
        <v>0</v>
      </c>
      <c r="V89" s="4">
        <v>0</v>
      </c>
      <c r="W89" s="4">
        <f t="shared" si="116"/>
        <v>0</v>
      </c>
      <c r="X89" s="4">
        <v>0</v>
      </c>
      <c r="Y89" s="4">
        <v>1456954</v>
      </c>
      <c r="Z89" s="4">
        <f t="shared" si="117"/>
        <v>-1456954</v>
      </c>
      <c r="AA89" s="4">
        <v>0</v>
      </c>
      <c r="AB89" s="4">
        <v>0</v>
      </c>
      <c r="AC89" s="4">
        <f t="shared" ref="AC89" si="128">+AA89-AB89</f>
        <v>0</v>
      </c>
      <c r="AD89" s="4">
        <v>0</v>
      </c>
      <c r="AE89" s="4">
        <v>5165075.25</v>
      </c>
      <c r="AF89" s="4">
        <f t="shared" si="118"/>
        <v>-5165075.25</v>
      </c>
      <c r="AG89" s="4">
        <v>0</v>
      </c>
      <c r="AH89" s="4">
        <v>0</v>
      </c>
      <c r="AI89" s="4">
        <f t="shared" si="119"/>
        <v>0</v>
      </c>
      <c r="AJ89" s="4">
        <v>0</v>
      </c>
      <c r="AK89" s="4">
        <v>3095902</v>
      </c>
      <c r="AL89" s="4">
        <f t="shared" si="120"/>
        <v>-3095902</v>
      </c>
      <c r="AM89" s="4">
        <f t="shared" ref="AM89:AN89" si="129">+C89+F89+I89+L89+O89+R89+U89+X89+AA89+AD89+AG89+AJ89</f>
        <v>0</v>
      </c>
      <c r="AN89" s="4">
        <f t="shared" si="129"/>
        <v>13836458.93</v>
      </c>
      <c r="AO89" s="4">
        <f t="shared" ref="AO89" si="130">+AM89-AN89</f>
        <v>-13836458.93</v>
      </c>
      <c r="AP89" s="21">
        <v>0</v>
      </c>
      <c r="AQ89" s="38"/>
      <c r="AR89" s="39"/>
      <c r="AS89" s="39"/>
      <c r="AT89" s="39"/>
    </row>
    <row r="90" spans="1:46" x14ac:dyDescent="0.25">
      <c r="A90" s="13" t="s">
        <v>80</v>
      </c>
      <c r="B90" s="7">
        <f t="shared" ref="B90:F90" si="131">SUM(B36:B89)</f>
        <v>2409491286.2779789</v>
      </c>
      <c r="C90" s="7">
        <f t="shared" si="131"/>
        <v>186858732.32316491</v>
      </c>
      <c r="D90" s="7">
        <f t="shared" ref="D90:E90" si="132">SUM(D36:D89)</f>
        <v>122457918</v>
      </c>
      <c r="E90" s="7">
        <f t="shared" si="132"/>
        <v>64400814.323164918</v>
      </c>
      <c r="F90" s="7">
        <f t="shared" si="131"/>
        <v>201692196.72316492</v>
      </c>
      <c r="G90" s="7">
        <f t="shared" ref="G90:H90" si="133">SUM(G36:G89)</f>
        <v>115359545</v>
      </c>
      <c r="H90" s="7">
        <f t="shared" si="133"/>
        <v>86332651.723164916</v>
      </c>
      <c r="I90" s="7">
        <f t="shared" ref="I90:K90" si="134">SUM(I36:I89)</f>
        <v>202309313.32316491</v>
      </c>
      <c r="J90" s="7">
        <f t="shared" si="134"/>
        <v>155967074</v>
      </c>
      <c r="K90" s="7">
        <f t="shared" si="134"/>
        <v>46342239.323164918</v>
      </c>
      <c r="L90" s="7">
        <f t="shared" ref="L90:AO90" si="135">SUM(L36:L89)</f>
        <v>208626089.32316491</v>
      </c>
      <c r="M90" s="7">
        <f t="shared" si="135"/>
        <v>144875436.94999999</v>
      </c>
      <c r="N90" s="7">
        <f t="shared" si="135"/>
        <v>63750652.373164915</v>
      </c>
      <c r="O90" s="7">
        <f t="shared" ref="O90:Q90" si="136">SUM(O36:O89)</f>
        <v>186868883.32316491</v>
      </c>
      <c r="P90" s="7">
        <f t="shared" si="136"/>
        <v>173816029.74000001</v>
      </c>
      <c r="Q90" s="7">
        <f t="shared" si="136"/>
        <v>13052853.583164915</v>
      </c>
      <c r="R90" s="7">
        <f t="shared" ref="R90:T90" si="137">SUM(R36:R89)</f>
        <v>194586497.32316491</v>
      </c>
      <c r="S90" s="7">
        <f t="shared" si="137"/>
        <v>139473263.81999999</v>
      </c>
      <c r="T90" s="7">
        <f t="shared" si="137"/>
        <v>55113233.503164917</v>
      </c>
      <c r="U90" s="7">
        <f t="shared" ref="U90:W90" si="138">SUM(U36:U89)</f>
        <v>198341403.32316488</v>
      </c>
      <c r="V90" s="7">
        <f t="shared" si="138"/>
        <v>148686847.21000001</v>
      </c>
      <c r="W90" s="7">
        <f t="shared" si="138"/>
        <v>49654556.113164894</v>
      </c>
      <c r="X90" s="7">
        <f t="shared" ref="X90:Z90" si="139">SUM(X36:X89)</f>
        <v>209287035.32316488</v>
      </c>
      <c r="Y90" s="7">
        <f t="shared" si="139"/>
        <v>176021695</v>
      </c>
      <c r="Z90" s="7">
        <f t="shared" si="139"/>
        <v>33265340.323164903</v>
      </c>
      <c r="AA90" s="7">
        <f t="shared" ref="AA90:AC90" si="140">SUM(AA36:AA89)</f>
        <v>202381501.32316488</v>
      </c>
      <c r="AB90" s="7">
        <f t="shared" si="140"/>
        <v>161122740</v>
      </c>
      <c r="AC90" s="7">
        <f t="shared" si="140"/>
        <v>41258761.323164895</v>
      </c>
      <c r="AD90" s="7">
        <f t="shared" ref="AD90:AF90" si="141">SUM(AD36:AD89)</f>
        <v>208393747.32316488</v>
      </c>
      <c r="AE90" s="7">
        <f t="shared" si="141"/>
        <v>162685879.84999999</v>
      </c>
      <c r="AF90" s="7">
        <f t="shared" si="141"/>
        <v>45707867.473164894</v>
      </c>
      <c r="AG90" s="7">
        <f t="shared" ref="AG90:AI90" si="142">SUM(AG36:AG89)</f>
        <v>199336201.32316488</v>
      </c>
      <c r="AH90" s="7">
        <f t="shared" si="142"/>
        <v>153419478.84</v>
      </c>
      <c r="AI90" s="7">
        <f t="shared" si="142"/>
        <v>45916722.483164899</v>
      </c>
      <c r="AJ90" s="7">
        <f t="shared" ref="AJ90:AL90" si="143">SUM(AJ36:AJ89)</f>
        <v>210809685.32316488</v>
      </c>
      <c r="AK90" s="7">
        <f t="shared" si="143"/>
        <v>229554970.75</v>
      </c>
      <c r="AL90" s="7">
        <f t="shared" si="143"/>
        <v>-18745285.426835101</v>
      </c>
      <c r="AM90" s="7">
        <f>SUM(AM36:AM89)</f>
        <v>2409491286.2779789</v>
      </c>
      <c r="AN90" s="7">
        <f t="shared" si="135"/>
        <v>1883440879.1600001</v>
      </c>
      <c r="AO90" s="7">
        <f t="shared" si="135"/>
        <v>526050407.11797899</v>
      </c>
      <c r="AP90" s="23">
        <f>+AO90/AM90</f>
        <v>0.21832426210205827</v>
      </c>
      <c r="AQ90" s="41">
        <f>+AL90/AJ90*100</f>
        <v>-8.8920418424320236</v>
      </c>
      <c r="AR90" s="39"/>
      <c r="AS90" s="39"/>
      <c r="AT90" s="39"/>
    </row>
    <row r="91" spans="1:46" s="1" customFormat="1" x14ac:dyDescent="0.25">
      <c r="A91" s="13" t="s">
        <v>92</v>
      </c>
      <c r="B91" s="15">
        <f>+B90+B35+B24</f>
        <v>10086095351.724506</v>
      </c>
      <c r="C91" s="15">
        <f>+C90+C35+C24</f>
        <v>914759867.21637511</v>
      </c>
      <c r="D91" s="15">
        <f t="shared" ref="D91:J91" si="144">+D90+D35+D24</f>
        <v>516427649</v>
      </c>
      <c r="E91" s="15">
        <f t="shared" si="144"/>
        <v>398332218.21637511</v>
      </c>
      <c r="F91" s="15">
        <f t="shared" si="144"/>
        <v>1461035455.2031755</v>
      </c>
      <c r="G91" s="15">
        <f t="shared" si="144"/>
        <v>529301459</v>
      </c>
      <c r="H91" s="15">
        <f t="shared" si="144"/>
        <v>931733996.20317554</v>
      </c>
      <c r="I91" s="15">
        <f t="shared" si="144"/>
        <v>1420860890.5129282</v>
      </c>
      <c r="J91" s="15">
        <f t="shared" si="144"/>
        <v>597489284</v>
      </c>
      <c r="K91" s="15">
        <f t="shared" ref="K91" si="145">+K90+K35+K24</f>
        <v>823371606.51292825</v>
      </c>
      <c r="L91" s="15">
        <f t="shared" ref="L91:AO91" si="146">+L90+L35+L24</f>
        <v>849263452.41022515</v>
      </c>
      <c r="M91" s="15">
        <f t="shared" si="146"/>
        <v>647296829.95000005</v>
      </c>
      <c r="N91" s="15">
        <f t="shared" si="146"/>
        <v>201966622.46022522</v>
      </c>
      <c r="O91" s="15">
        <f t="shared" ref="O91:T91" si="147">+O90+O35+O24</f>
        <v>529196541.91022521</v>
      </c>
      <c r="P91" s="15">
        <f t="shared" si="147"/>
        <v>639066770.74000001</v>
      </c>
      <c r="Q91" s="15">
        <f t="shared" si="147"/>
        <v>-109870228.82977478</v>
      </c>
      <c r="R91" s="15">
        <f t="shared" si="147"/>
        <v>740659587.71022522</v>
      </c>
      <c r="S91" s="15">
        <f t="shared" si="147"/>
        <v>514646008.52999997</v>
      </c>
      <c r="T91" s="15">
        <f t="shared" si="147"/>
        <v>226013579.18022525</v>
      </c>
      <c r="U91" s="15">
        <f t="shared" ref="U91:W91" si="148">+U90+U35+U24</f>
        <v>525362960.91022521</v>
      </c>
      <c r="V91" s="15">
        <f t="shared" si="148"/>
        <v>589599858.98000002</v>
      </c>
      <c r="W91" s="15">
        <f t="shared" si="148"/>
        <v>-64236898.069774762</v>
      </c>
      <c r="X91" s="15">
        <f t="shared" ref="X91:Z91" si="149">+X90+X35+X24</f>
        <v>1162534208.5102253</v>
      </c>
      <c r="Y91" s="15">
        <f t="shared" si="149"/>
        <v>901781304</v>
      </c>
      <c r="Z91" s="15">
        <f t="shared" si="149"/>
        <v>260752904.51022527</v>
      </c>
      <c r="AA91" s="15">
        <f t="shared" ref="AA91:AC91" si="150">+AA90+AA35+AA24</f>
        <v>763000766.71022522</v>
      </c>
      <c r="AB91" s="15">
        <f t="shared" si="150"/>
        <v>494013649.19</v>
      </c>
      <c r="AC91" s="15">
        <f t="shared" si="150"/>
        <v>268987117.52022523</v>
      </c>
      <c r="AD91" s="15">
        <f t="shared" ref="AD91:AF91" si="151">+AD90+AD35+AD24</f>
        <v>533385104.91022521</v>
      </c>
      <c r="AE91" s="15">
        <f t="shared" si="151"/>
        <v>679262343.20000005</v>
      </c>
      <c r="AF91" s="15">
        <f t="shared" si="151"/>
        <v>-145877238.28977478</v>
      </c>
      <c r="AG91" s="15">
        <f t="shared" ref="AG91:AI91" si="152">+AG90+AG35+AG24</f>
        <v>649032452.81022525</v>
      </c>
      <c r="AH91" s="15">
        <f t="shared" si="152"/>
        <v>906674875.04999995</v>
      </c>
      <c r="AI91" s="15">
        <f t="shared" si="152"/>
        <v>-257642422.23977479</v>
      </c>
      <c r="AJ91" s="15">
        <f>+AJ90+AJ35+AJ24</f>
        <v>537004062.91022515</v>
      </c>
      <c r="AK91" s="15">
        <f t="shared" ref="AK91:AL91" si="153">+AK90+AK35+AK24</f>
        <v>2013728252.4200001</v>
      </c>
      <c r="AL91" s="15">
        <f t="shared" si="153"/>
        <v>-1476724189.5097747</v>
      </c>
      <c r="AM91" s="15">
        <f>+AM90+AM35+AM24</f>
        <v>10086095351.724506</v>
      </c>
      <c r="AN91" s="15">
        <f t="shared" si="146"/>
        <v>9029288284.0599995</v>
      </c>
      <c r="AO91" s="15">
        <f t="shared" si="146"/>
        <v>1056807067.6645069</v>
      </c>
      <c r="AP91" s="23">
        <f t="shared" ref="AP91" si="154">+AO91/AM91</f>
        <v>0.1047786116243503</v>
      </c>
      <c r="AQ91" s="41">
        <f>+AL91/AJ91*100</f>
        <v>-274.99311299561793</v>
      </c>
      <c r="AR91" s="39"/>
      <c r="AS91" s="39"/>
      <c r="AT91" s="39"/>
    </row>
    <row r="92" spans="1:46" ht="19.5" thickBot="1" x14ac:dyDescent="0.3">
      <c r="A92" s="14" t="s">
        <v>0</v>
      </c>
      <c r="B92" s="8">
        <f>+B12-B91</f>
        <v>-9638159737.2525005</v>
      </c>
      <c r="C92" s="8">
        <f t="shared" ref="C92:J92" si="155">+C12-C91</f>
        <v>-914759867.21637511</v>
      </c>
      <c r="D92" s="8">
        <f t="shared" si="155"/>
        <v>-516427649</v>
      </c>
      <c r="E92" s="8">
        <f t="shared" si="155"/>
        <v>-398332218.21637511</v>
      </c>
      <c r="F92" s="8">
        <f t="shared" si="155"/>
        <v>-1461035455.2031755</v>
      </c>
      <c r="G92" s="8">
        <f t="shared" si="155"/>
        <v>-529301459</v>
      </c>
      <c r="H92" s="8">
        <f t="shared" si="155"/>
        <v>-931733996.20317554</v>
      </c>
      <c r="I92" s="8">
        <f t="shared" si="155"/>
        <v>-1379875150.4670529</v>
      </c>
      <c r="J92" s="8">
        <f t="shared" si="155"/>
        <v>-597489284</v>
      </c>
      <c r="K92" s="8">
        <f t="shared" ref="K92" si="156">+K12-K91</f>
        <v>-782385866.46705294</v>
      </c>
      <c r="L92" s="8">
        <f t="shared" ref="L92:AO92" si="157">+L12-L91</f>
        <v>-808277712.36434984</v>
      </c>
      <c r="M92" s="8">
        <f t="shared" si="157"/>
        <v>-647296829.95000005</v>
      </c>
      <c r="N92" s="8">
        <f t="shared" si="157"/>
        <v>-160980882.41434988</v>
      </c>
      <c r="O92" s="8">
        <f t="shared" ref="O92:S92" si="158">+O12-O91</f>
        <v>-488210801.8643499</v>
      </c>
      <c r="P92" s="8">
        <f t="shared" si="158"/>
        <v>-637274133.25999999</v>
      </c>
      <c r="Q92" s="8">
        <f t="shared" si="158"/>
        <v>149063331.39565012</v>
      </c>
      <c r="R92" s="8">
        <f t="shared" si="158"/>
        <v>-699673847.66434991</v>
      </c>
      <c r="S92" s="8">
        <f t="shared" si="158"/>
        <v>-507928646.03999996</v>
      </c>
      <c r="T92" s="8">
        <f>+T12-T91</f>
        <v>-191745201.62434992</v>
      </c>
      <c r="U92" s="8">
        <f t="shared" ref="U92:V92" si="159">+U12-U91</f>
        <v>-482710060.96246582</v>
      </c>
      <c r="V92" s="8">
        <f t="shared" si="159"/>
        <v>-292233665.92000002</v>
      </c>
      <c r="W92" s="8">
        <f>+W12-W91</f>
        <v>-190476395.04246587</v>
      </c>
      <c r="X92" s="8">
        <f t="shared" ref="X92:Y92" si="160">+X12-X91</f>
        <v>-1118130790.6654878</v>
      </c>
      <c r="Y92" s="8">
        <f t="shared" si="160"/>
        <v>-849628876.88</v>
      </c>
      <c r="Z92" s="8">
        <f>+Z12-Z91</f>
        <v>-268501913.78548765</v>
      </c>
      <c r="AA92" s="8">
        <f t="shared" ref="AA92:AC92" si="161">+AA12-AA91</f>
        <v>-716759305.07366037</v>
      </c>
      <c r="AB92" s="8">
        <f t="shared" si="161"/>
        <v>-480391918.16000003</v>
      </c>
      <c r="AC92" s="8">
        <f t="shared" si="161"/>
        <v>-236367386.91366044</v>
      </c>
      <c r="AD92" s="8">
        <f t="shared" ref="AD92:AF92" si="162">+AD12-AD91</f>
        <v>-485213697.29224193</v>
      </c>
      <c r="AE92" s="8">
        <f t="shared" si="162"/>
        <v>-661653284.87</v>
      </c>
      <c r="AF92" s="8">
        <f t="shared" si="162"/>
        <v>176439587.57775807</v>
      </c>
      <c r="AG92" s="8">
        <f t="shared" ref="AG92:AI92" si="163">+AG12-AG91</f>
        <v>-598834601.91175246</v>
      </c>
      <c r="AH92" s="8">
        <f t="shared" si="163"/>
        <v>-886939675.04999995</v>
      </c>
      <c r="AI92" s="8">
        <f t="shared" si="163"/>
        <v>288105073.13824755</v>
      </c>
      <c r="AJ92" s="8">
        <f t="shared" ref="AJ92:AL92" si="164">+AJ12-AJ91</f>
        <v>-484678446.56723845</v>
      </c>
      <c r="AK92" s="8">
        <f t="shared" si="164"/>
        <v>-1993367033.4200001</v>
      </c>
      <c r="AL92" s="8">
        <f t="shared" si="164"/>
        <v>1508688586.8527613</v>
      </c>
      <c r="AM92" s="8">
        <f>+AM12-AM91</f>
        <v>-9638159737.2525005</v>
      </c>
      <c r="AN92" s="8">
        <f t="shared" si="157"/>
        <v>-8599932455.5499992</v>
      </c>
      <c r="AO92" s="8">
        <f t="shared" si="157"/>
        <v>-1038227281.7025011</v>
      </c>
      <c r="AP92" s="24">
        <f>+AO92/AM92</f>
        <v>0.10772048918110824</v>
      </c>
      <c r="AQ92" s="38"/>
      <c r="AR92" s="39"/>
      <c r="AS92" s="39"/>
      <c r="AT92" s="39"/>
    </row>
    <row r="93" spans="1:46" x14ac:dyDescent="0.25">
      <c r="I93" s="2"/>
      <c r="L93" s="2"/>
      <c r="N93" s="2"/>
      <c r="O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32"/>
      <c r="AN93" s="2"/>
      <c r="AQ93" s="38"/>
    </row>
    <row r="94" spans="1:46" hidden="1" x14ac:dyDescent="0.25">
      <c r="C94" s="32"/>
      <c r="D94" s="2"/>
      <c r="E94" s="2"/>
      <c r="F94" s="32"/>
      <c r="H94" s="2"/>
      <c r="I94" s="32"/>
      <c r="J94" s="2"/>
      <c r="K94" s="2"/>
      <c r="L94" s="32"/>
      <c r="M94" s="2"/>
      <c r="N94" s="2"/>
      <c r="O94" s="32"/>
      <c r="P94" s="2"/>
      <c r="Q94" s="2"/>
      <c r="R94" s="32"/>
      <c r="S94" s="2"/>
      <c r="T94" s="2"/>
      <c r="U94" s="32"/>
      <c r="V94" s="2"/>
      <c r="W94" s="2"/>
      <c r="X94" s="32"/>
      <c r="Y94" s="2"/>
      <c r="Z94" s="2"/>
      <c r="AA94" s="32"/>
      <c r="AB94" s="2"/>
      <c r="AC94" s="2"/>
      <c r="AD94" s="32"/>
      <c r="AE94" s="2"/>
      <c r="AF94" s="2"/>
      <c r="AG94" s="2"/>
      <c r="AH94" s="2"/>
      <c r="AI94" s="2"/>
      <c r="AJ94" s="2"/>
      <c r="AK94" s="2"/>
      <c r="AL94" s="2"/>
      <c r="AM94" s="2">
        <f>+C92+F92+I92+L92+O92+R92+U92+X92+AA92+AD92+AG92</f>
        <v>-9153481290.6852627</v>
      </c>
      <c r="AN94" s="2">
        <f>+D92+G92+J92+M92+P92+S92+V92+Y92+AB92+AE92+AH92</f>
        <v>-6606565422.1300001</v>
      </c>
      <c r="AO94" s="2">
        <f>+E92+H92+K92+N92+Q92+T92+W92+Z92+AC92+AF92+AI92</f>
        <v>-2546915868.5552616</v>
      </c>
      <c r="AQ94" s="38"/>
    </row>
    <row r="95" spans="1:46" hidden="1" x14ac:dyDescent="0.25">
      <c r="C95" s="2"/>
      <c r="F95" s="2"/>
      <c r="I95" s="2"/>
      <c r="L95" s="2"/>
      <c r="O95" s="2"/>
      <c r="P95" s="2"/>
      <c r="R95" s="2"/>
      <c r="U95" s="2"/>
      <c r="X95" s="2"/>
      <c r="AA95" s="2"/>
      <c r="AD95" s="2"/>
      <c r="AM95" s="33">
        <f>+'[1]Déficit P&amp;K feb16'!$M$89</f>
        <v>-12292881289.611368</v>
      </c>
      <c r="AN95" s="2"/>
      <c r="AO95" s="2">
        <f>+AO94-AO92</f>
        <v>-1508688586.8527606</v>
      </c>
      <c r="AQ95" s="38"/>
    </row>
    <row r="96" spans="1:46" hidden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>
        <f>+AM95-AM94</f>
        <v>-3139399998.9261055</v>
      </c>
      <c r="AN96" s="2"/>
      <c r="AO96" s="2"/>
      <c r="AP96" s="2"/>
      <c r="AQ96" s="38"/>
      <c r="AR96" s="2"/>
      <c r="AS96" s="2"/>
    </row>
    <row r="97" spans="2:45" hidden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38"/>
      <c r="AR97" s="2"/>
      <c r="AS97" s="2"/>
    </row>
    <row r="98" spans="2:45" hidden="1" x14ac:dyDescent="0.25">
      <c r="AN98" s="2"/>
      <c r="AQ98" s="38"/>
    </row>
    <row r="99" spans="2:45" x14ac:dyDescent="0.25">
      <c r="AM99" s="2"/>
      <c r="AN99" s="2"/>
      <c r="AQ99" s="38"/>
    </row>
    <row r="100" spans="2:45" x14ac:dyDescent="0.25">
      <c r="C100" s="3"/>
      <c r="D100" s="3"/>
      <c r="E100" s="3"/>
      <c r="AM100" s="2"/>
      <c r="AQ100" s="38"/>
    </row>
    <row r="101" spans="2:45" x14ac:dyDescent="0.25">
      <c r="AM101" s="2">
        <f>+C92+F92+I92+L92+O92+R92+U92+X92+AA92+AD92+AG92+AJ92</f>
        <v>-9638159737.2525005</v>
      </c>
      <c r="AN101" s="2">
        <f>+D92+G92+J92+M92+P92+S92+V92+Y92+AB92+AE92+AH92+AK92</f>
        <v>-8599932455.5499992</v>
      </c>
      <c r="AO101" s="2">
        <f>+E92+H92+K92+N92+Q92+T92+W92+Z92+AC92+AF92+AI92+AL92</f>
        <v>-1038227281.7025003</v>
      </c>
      <c r="AQ101" s="38"/>
    </row>
    <row r="102" spans="2:45" x14ac:dyDescent="0.25">
      <c r="AM102" s="2"/>
      <c r="AQ102" s="38"/>
    </row>
    <row r="103" spans="2:45" x14ac:dyDescent="0.25">
      <c r="AM103" s="2"/>
      <c r="AN103" s="2"/>
      <c r="AQ103" s="38"/>
    </row>
    <row r="104" spans="2:45" x14ac:dyDescent="0.25">
      <c r="AM104" s="2"/>
      <c r="AQ104" s="38"/>
    </row>
    <row r="105" spans="2:45" x14ac:dyDescent="0.25">
      <c r="C105" s="2"/>
      <c r="F105" s="2"/>
      <c r="I105" s="2"/>
      <c r="L105" s="2"/>
      <c r="O105" s="2"/>
      <c r="R105" s="2"/>
      <c r="U105" s="2"/>
      <c r="X105" s="2"/>
      <c r="AA105" s="2"/>
      <c r="AD105" s="2"/>
      <c r="AG105" s="2"/>
      <c r="AJ105" s="2"/>
      <c r="AK105" s="2"/>
      <c r="AQ105" s="38"/>
    </row>
    <row r="106" spans="2:45" x14ac:dyDescent="0.25">
      <c r="C106" s="2"/>
      <c r="F106" s="2"/>
      <c r="I106" s="2"/>
      <c r="L106" s="2"/>
      <c r="O106" s="2"/>
      <c r="R106" s="2"/>
      <c r="U106" s="2"/>
      <c r="X106" s="2"/>
      <c r="AA106" s="2"/>
      <c r="AD106" s="2"/>
      <c r="AG106" s="2"/>
      <c r="AJ106" s="2"/>
      <c r="AQ106" s="38"/>
    </row>
    <row r="107" spans="2:45" x14ac:dyDescent="0.25">
      <c r="AQ107" s="38"/>
    </row>
    <row r="108" spans="2:45" x14ac:dyDescent="0.25">
      <c r="AQ108" s="38"/>
    </row>
    <row r="109" spans="2:45" x14ac:dyDescent="0.25">
      <c r="AQ109" s="38"/>
    </row>
    <row r="110" spans="2:45" x14ac:dyDescent="0.25">
      <c r="AQ110" s="38"/>
    </row>
    <row r="111" spans="2:45" x14ac:dyDescent="0.25">
      <c r="AQ111" s="38"/>
    </row>
    <row r="112" spans="2:45" x14ac:dyDescent="0.25">
      <c r="AQ112" s="38"/>
    </row>
    <row r="113" spans="43:43" x14ac:dyDescent="0.25">
      <c r="AQ113" s="38"/>
    </row>
    <row r="114" spans="43:43" x14ac:dyDescent="0.25">
      <c r="AQ114" s="38"/>
    </row>
    <row r="115" spans="43:43" x14ac:dyDescent="0.25">
      <c r="AQ115" s="38"/>
    </row>
    <row r="116" spans="43:43" x14ac:dyDescent="0.25">
      <c r="AQ116" s="38"/>
    </row>
    <row r="117" spans="43:43" x14ac:dyDescent="0.25">
      <c r="AQ117" s="38"/>
    </row>
    <row r="118" spans="43:43" x14ac:dyDescent="0.25">
      <c r="AQ118" s="38"/>
    </row>
    <row r="119" spans="43:43" x14ac:dyDescent="0.25">
      <c r="AQ119" s="38"/>
    </row>
    <row r="120" spans="43:43" x14ac:dyDescent="0.25">
      <c r="AQ120" s="38"/>
    </row>
    <row r="121" spans="43:43" x14ac:dyDescent="0.25">
      <c r="AQ121" s="38"/>
    </row>
    <row r="122" spans="43:43" x14ac:dyDescent="0.25">
      <c r="AQ122" s="38"/>
    </row>
  </sheetData>
  <mergeCells count="18">
    <mergeCell ref="AG5:AI5"/>
    <mergeCell ref="L5:N5"/>
    <mergeCell ref="AM5:AP5"/>
    <mergeCell ref="C5:E5"/>
    <mergeCell ref="F5:H5"/>
    <mergeCell ref="I5:K5"/>
    <mergeCell ref="O5:Q5"/>
    <mergeCell ref="R5:T5"/>
    <mergeCell ref="U5:W5"/>
    <mergeCell ref="X5:Z5"/>
    <mergeCell ref="AA5:AC5"/>
    <mergeCell ref="AD5:AF5"/>
    <mergeCell ref="AJ5:AL5"/>
    <mergeCell ref="A1:C1"/>
    <mergeCell ref="A3:K3"/>
    <mergeCell ref="B4:C4"/>
    <mergeCell ref="D4:E4"/>
    <mergeCell ref="F4:G4"/>
  </mergeCells>
  <pageMargins left="0.59055118110236227" right="0.39370078740157483" top="0.39370078740157483" bottom="0.59055118110236227" header="0.31496062992125984" footer="0.31496062992125984"/>
  <pageSetup scale="7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Ejecucuion</vt:lpstr>
      <vt:lpstr>Ejecucuion!Área_de_impresión</vt:lpstr>
      <vt:lpstr>Ejecucuion!Títulos_a_imprimir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2022-06-13T16:03:43Z</cp:lastPrinted>
  <dcterms:created xsi:type="dcterms:W3CDTF">2021-06-03T01:26:57Z</dcterms:created>
  <dcterms:modified xsi:type="dcterms:W3CDTF">2023-03-16T01:22:19Z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