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28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Enero/"/>
    </mc:Choice>
  </mc:AlternateContent>
  <xr:revisionPtr revIDLastSave="679" documentId="8_{FBBD3341-710F-4B6E-9E95-B3EE0D51DB8C}" xr6:coauthVersionLast="47" xr6:coauthVersionMax="47" xr10:uidLastSave="{D5FB8AF6-F69F-440D-9324-8BEC4AC6F87D}"/>
  <bookViews>
    <workbookView xWindow="-120" yWindow="-120" windowWidth="29040" windowHeight="15720" firstSheet="1" activeTab="2" xr2:uid="{8E7A32EE-77C1-49B1-AC05-7D92B0B48E95}"/>
  </bookViews>
  <sheets>
    <sheet name="202302M" sheetId="14" state="hidden" r:id="rId1"/>
    <sheet name="202401anual" sheetId="9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'2024Ej'!$A$5:$AP$100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'2024Ej'!$A$1:$AP$100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N70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49" i="10" s="1"/>
  <c r="AN36" i="10"/>
  <c r="D86" i="10"/>
  <c r="AL15" i="10" l="1"/>
  <c r="AK15" i="10"/>
  <c r="AJ15" i="10"/>
  <c r="AI15" i="10"/>
  <c r="AH15" i="10"/>
  <c r="AG15" i="10"/>
  <c r="AF15" i="10"/>
  <c r="AE15" i="10"/>
  <c r="AD15" i="10"/>
  <c r="AB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C15" i="10"/>
  <c r="B15" i="10"/>
  <c r="D15" i="10"/>
  <c r="AN12" i="10"/>
  <c r="AN13" i="10"/>
  <c r="AN14" i="10"/>
  <c r="AM13" i="10"/>
  <c r="AM14" i="10"/>
  <c r="E11" i="10"/>
  <c r="E12" i="10"/>
  <c r="E13" i="10"/>
  <c r="E14" i="10"/>
  <c r="D49" i="10"/>
  <c r="D85" i="10"/>
  <c r="E42" i="10"/>
  <c r="E37" i="10"/>
  <c r="G86" i="10"/>
  <c r="G98" i="10" s="1"/>
  <c r="I86" i="10"/>
  <c r="J86" i="10"/>
  <c r="L86" i="10"/>
  <c r="M86" i="10"/>
  <c r="O86" i="10"/>
  <c r="P86" i="10"/>
  <c r="R86" i="10"/>
  <c r="S86" i="10"/>
  <c r="U86" i="10"/>
  <c r="V86" i="10"/>
  <c r="Y86" i="10"/>
  <c r="AB86" i="10"/>
  <c r="AD86" i="10"/>
  <c r="AE86" i="10"/>
  <c r="AH86" i="10"/>
  <c r="AK86" i="10"/>
  <c r="AM87" i="10"/>
  <c r="AM91" i="10"/>
  <c r="AM92" i="10"/>
  <c r="AM42" i="10"/>
  <c r="AO42" i="10" s="1"/>
  <c r="AP42" i="10" s="1"/>
  <c r="D97" i="10"/>
  <c r="G97" i="10"/>
  <c r="I97" i="10"/>
  <c r="J97" i="10"/>
  <c r="M97" i="10"/>
  <c r="P97" i="10"/>
  <c r="P98" i="10" s="1"/>
  <c r="S97" i="10"/>
  <c r="S98" i="10" s="1"/>
  <c r="U97" i="10"/>
  <c r="V97" i="10"/>
  <c r="X97" i="10"/>
  <c r="Y97" i="10"/>
  <c r="AB97" i="10"/>
  <c r="AE97" i="10"/>
  <c r="AG97" i="10"/>
  <c r="AH97" i="10"/>
  <c r="AH98" i="10" s="1"/>
  <c r="AJ97" i="10"/>
  <c r="AK97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B98" i="10" s="1"/>
  <c r="AC49" i="10"/>
  <c r="AD49" i="10"/>
  <c r="AE49" i="10"/>
  <c r="AE98" i="10" s="1"/>
  <c r="AF49" i="10"/>
  <c r="AG49" i="10"/>
  <c r="AH49" i="10"/>
  <c r="AI49" i="10"/>
  <c r="AJ49" i="10"/>
  <c r="AK49" i="10"/>
  <c r="AL49" i="10"/>
  <c r="AM93" i="10"/>
  <c r="AM94" i="10"/>
  <c r="AM96" i="10"/>
  <c r="AM54" i="10"/>
  <c r="AM56" i="10"/>
  <c r="AM57" i="10"/>
  <c r="E59" i="10"/>
  <c r="E60" i="10"/>
  <c r="E61" i="10"/>
  <c r="E62" i="10"/>
  <c r="E65" i="10"/>
  <c r="AM66" i="10"/>
  <c r="AM67" i="10"/>
  <c r="E68" i="10"/>
  <c r="E69" i="10"/>
  <c r="E70" i="10"/>
  <c r="E71" i="10"/>
  <c r="E73" i="10"/>
  <c r="E74" i="10"/>
  <c r="E75" i="10"/>
  <c r="E76" i="10"/>
  <c r="AM79" i="10"/>
  <c r="AO79" i="10" s="1"/>
  <c r="AP79" i="10" s="1"/>
  <c r="AM80" i="10"/>
  <c r="AO80" i="10" s="1"/>
  <c r="AP80" i="10" s="1"/>
  <c r="AM81" i="10"/>
  <c r="AO81" i="10" s="1"/>
  <c r="AP81" i="10" s="1"/>
  <c r="E85" i="10"/>
  <c r="AM37" i="10"/>
  <c r="AO37" i="10" s="1"/>
  <c r="AP37" i="10" s="1"/>
  <c r="AM39" i="10"/>
  <c r="AO39" i="10" s="1"/>
  <c r="AP39" i="10" s="1"/>
  <c r="AM40" i="10"/>
  <c r="AO40" i="10" s="1"/>
  <c r="AP40" i="10" s="1"/>
  <c r="E41" i="10"/>
  <c r="E46" i="10"/>
  <c r="A40" i="10"/>
  <c r="A39" i="10"/>
  <c r="A41" i="10"/>
  <c r="A42" i="10"/>
  <c r="A43" i="10"/>
  <c r="A44" i="10"/>
  <c r="A45" i="10"/>
  <c r="A46" i="10"/>
  <c r="A47" i="10"/>
  <c r="A48" i="10"/>
  <c r="A38" i="10"/>
  <c r="A37" i="10"/>
  <c r="H60" i="10"/>
  <c r="K60" i="10"/>
  <c r="N60" i="10"/>
  <c r="Q60" i="10"/>
  <c r="T60" i="10"/>
  <c r="W60" i="10"/>
  <c r="X60" i="10"/>
  <c r="Z60" i="10" s="1"/>
  <c r="AC60" i="10"/>
  <c r="AF60" i="10"/>
  <c r="AI60" i="10"/>
  <c r="AL60" i="10"/>
  <c r="AN60" i="10"/>
  <c r="F68" i="10"/>
  <c r="H68" i="10" s="1"/>
  <c r="K68" i="10"/>
  <c r="N68" i="10"/>
  <c r="Q68" i="10"/>
  <c r="T68" i="10"/>
  <c r="W68" i="10"/>
  <c r="Z68" i="10"/>
  <c r="AC68" i="10"/>
  <c r="AF68" i="10"/>
  <c r="AI68" i="10"/>
  <c r="AJ68" i="10"/>
  <c r="AL68" i="10" s="1"/>
  <c r="AN68" i="10"/>
  <c r="A96" i="10"/>
  <c r="A95" i="10"/>
  <c r="A89" i="10"/>
  <c r="A90" i="10"/>
  <c r="A91" i="10"/>
  <c r="A92" i="10"/>
  <c r="A93" i="10"/>
  <c r="A94" i="10"/>
  <c r="A88" i="10"/>
  <c r="I89" i="9"/>
  <c r="B89" i="9"/>
  <c r="D142" i="9"/>
  <c r="E142" i="9" s="1"/>
  <c r="F142" i="9" s="1"/>
  <c r="G142" i="9" s="1"/>
  <c r="H142" i="9" s="1"/>
  <c r="I142" i="9" s="1"/>
  <c r="J142" i="9" s="1"/>
  <c r="K142" i="9" s="1"/>
  <c r="L142" i="9" s="1"/>
  <c r="M142" i="9" s="1"/>
  <c r="N142" i="9" s="1"/>
  <c r="F131" i="9"/>
  <c r="G131" i="9" s="1"/>
  <c r="H131" i="9" s="1"/>
  <c r="I131" i="9" s="1"/>
  <c r="J131" i="9" s="1"/>
  <c r="K131" i="9" s="1"/>
  <c r="L131" i="9" s="1"/>
  <c r="M131" i="9" s="1"/>
  <c r="N131" i="9" s="1"/>
  <c r="L112" i="9"/>
  <c r="H112" i="9"/>
  <c r="L89" i="9"/>
  <c r="J89" i="9"/>
  <c r="K91" i="9"/>
  <c r="E91" i="9"/>
  <c r="N111" i="9"/>
  <c r="J94" i="9"/>
  <c r="E94" i="9"/>
  <c r="O97" i="9"/>
  <c r="O98" i="9"/>
  <c r="O99" i="9"/>
  <c r="O100" i="9"/>
  <c r="O101" i="9"/>
  <c r="B97" i="9"/>
  <c r="G116" i="9"/>
  <c r="I116" i="9"/>
  <c r="O117" i="9"/>
  <c r="O121" i="9"/>
  <c r="D138" i="9"/>
  <c r="E138" i="9" s="1"/>
  <c r="O129" i="9"/>
  <c r="O130" i="9"/>
  <c r="O122" i="9"/>
  <c r="O123" i="9"/>
  <c r="O124" i="9"/>
  <c r="O125" i="9"/>
  <c r="O126" i="9"/>
  <c r="O127" i="9"/>
  <c r="O128" i="9"/>
  <c r="B101" i="9"/>
  <c r="D120" i="9"/>
  <c r="E120" i="9" s="1"/>
  <c r="F120" i="9" s="1"/>
  <c r="G120" i="9" s="1"/>
  <c r="H120" i="9" s="1"/>
  <c r="I120" i="9" s="1"/>
  <c r="J120" i="9" s="1"/>
  <c r="K120" i="9" s="1"/>
  <c r="L120" i="9" s="1"/>
  <c r="M120" i="9" s="1"/>
  <c r="N120" i="9" s="1"/>
  <c r="F132" i="9"/>
  <c r="E132" i="9"/>
  <c r="D132" i="9"/>
  <c r="C54" i="9"/>
  <c r="D54" i="9"/>
  <c r="E54" i="9"/>
  <c r="F54" i="9"/>
  <c r="G54" i="9"/>
  <c r="H54" i="9"/>
  <c r="I54" i="9"/>
  <c r="J54" i="9"/>
  <c r="K54" i="9"/>
  <c r="L54" i="9"/>
  <c r="M54" i="9"/>
  <c r="N54" i="9"/>
  <c r="C51" i="9"/>
  <c r="D51" i="9"/>
  <c r="E51" i="9"/>
  <c r="F51" i="9"/>
  <c r="G51" i="9"/>
  <c r="H51" i="9"/>
  <c r="I51" i="9"/>
  <c r="J51" i="9"/>
  <c r="K51" i="9"/>
  <c r="L51" i="9"/>
  <c r="M51" i="9"/>
  <c r="N51" i="9"/>
  <c r="B49" i="9"/>
  <c r="C49" i="9" s="1"/>
  <c r="D49" i="9" s="1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76" i="9"/>
  <c r="O75" i="9"/>
  <c r="O74" i="9"/>
  <c r="O73" i="9"/>
  <c r="O71" i="9"/>
  <c r="O66" i="9"/>
  <c r="O68" i="9"/>
  <c r="O70" i="9"/>
  <c r="AO13" i="10" l="1"/>
  <c r="AP13" i="10" s="1"/>
  <c r="AO14" i="10"/>
  <c r="AP14" i="10" s="1"/>
  <c r="AM65" i="10"/>
  <c r="V98" i="10"/>
  <c r="AK98" i="10"/>
  <c r="E45" i="10"/>
  <c r="I98" i="10"/>
  <c r="E81" i="10"/>
  <c r="E80" i="10"/>
  <c r="M98" i="10"/>
  <c r="E57" i="10"/>
  <c r="J98" i="10"/>
  <c r="U98" i="10"/>
  <c r="AM68" i="10"/>
  <c r="AO68" i="10" s="1"/>
  <c r="AP68" i="10" s="1"/>
  <c r="Y98" i="10"/>
  <c r="E56" i="10"/>
  <c r="D98" i="10"/>
  <c r="C97" i="10"/>
  <c r="AM76" i="10"/>
  <c r="AO76" i="10" s="1"/>
  <c r="AP76" i="10" s="1"/>
  <c r="E79" i="10"/>
  <c r="E67" i="10"/>
  <c r="AM45" i="10"/>
  <c r="AO45" i="10" s="1"/>
  <c r="AP45" i="10" s="1"/>
  <c r="AM75" i="10"/>
  <c r="AO75" i="10" s="1"/>
  <c r="AP75" i="10" s="1"/>
  <c r="E66" i="10"/>
  <c r="E54" i="10"/>
  <c r="AM41" i="10"/>
  <c r="AO41" i="10" s="1"/>
  <c r="AP41" i="10" s="1"/>
  <c r="AM46" i="10"/>
  <c r="AO46" i="10" s="1"/>
  <c r="AP46" i="10" s="1"/>
  <c r="AM74" i="10"/>
  <c r="AO74" i="10" s="1"/>
  <c r="AP74" i="10" s="1"/>
  <c r="AM62" i="10"/>
  <c r="E39" i="10"/>
  <c r="AM85" i="10"/>
  <c r="AO85" i="10" s="1"/>
  <c r="AP85" i="10" s="1"/>
  <c r="AM73" i="10"/>
  <c r="AO73" i="10" s="1"/>
  <c r="AP73" i="10" s="1"/>
  <c r="AM61" i="10"/>
  <c r="E40" i="10"/>
  <c r="AM60" i="10"/>
  <c r="AO60" i="10" s="1"/>
  <c r="X86" i="10"/>
  <c r="X98" i="10" s="1"/>
  <c r="AM59" i="10"/>
  <c r="AM71" i="10"/>
  <c r="O132" i="9"/>
  <c r="O120" i="9"/>
  <c r="O89" i="9"/>
  <c r="O116" i="9"/>
  <c r="F138" i="9"/>
  <c r="G138" i="9" s="1"/>
  <c r="H138" i="9" s="1"/>
  <c r="I138" i="9" s="1"/>
  <c r="O52" i="9"/>
  <c r="O51" i="9" s="1"/>
  <c r="N63" i="9"/>
  <c r="M63" i="9"/>
  <c r="I63" i="9"/>
  <c r="H63" i="9"/>
  <c r="E63" i="9"/>
  <c r="O56" i="9"/>
  <c r="O62" i="9"/>
  <c r="O65" i="9"/>
  <c r="O61" i="9"/>
  <c r="E60" i="9"/>
  <c r="F60" i="9" s="1"/>
  <c r="G60" i="9" s="1"/>
  <c r="H60" i="9" s="1"/>
  <c r="I60" i="9" s="1"/>
  <c r="J60" i="9" s="1"/>
  <c r="K60" i="9" s="1"/>
  <c r="L60" i="9" s="1"/>
  <c r="M60" i="9" s="1"/>
  <c r="N60" i="9" s="1"/>
  <c r="D59" i="9"/>
  <c r="O55" i="9"/>
  <c r="D46" i="9"/>
  <c r="AQ60" i="10" l="1"/>
  <c r="AP60" i="10"/>
  <c r="K138" i="9"/>
  <c r="L138" i="9" s="1"/>
  <c r="M138" i="9" s="1"/>
  <c r="N138" i="9" s="1"/>
  <c r="J138" i="9"/>
  <c r="O54" i="9"/>
  <c r="E59" i="9"/>
  <c r="O63" i="9"/>
  <c r="O60" i="9"/>
  <c r="F59" i="9" l="1"/>
  <c r="C17" i="9"/>
  <c r="AM18" i="10" s="1"/>
  <c r="G25" i="9"/>
  <c r="H25" i="9" s="1"/>
  <c r="I25" i="9" s="1"/>
  <c r="J25" i="9" s="1"/>
  <c r="D25" i="9"/>
  <c r="D17" i="9" s="1"/>
  <c r="I39" i="9"/>
  <c r="J39" i="9" s="1"/>
  <c r="K39" i="9" s="1"/>
  <c r="L39" i="9" s="1"/>
  <c r="M39" i="9" s="1"/>
  <c r="N39" i="9" s="1"/>
  <c r="G39" i="9"/>
  <c r="D39" i="9"/>
  <c r="O26" i="9"/>
  <c r="P26" i="9" s="1"/>
  <c r="O30" i="9"/>
  <c r="O32" i="9"/>
  <c r="P32" i="9" s="1"/>
  <c r="O33" i="9"/>
  <c r="O34" i="9"/>
  <c r="P34" i="9" s="1"/>
  <c r="O35" i="9"/>
  <c r="O37" i="9"/>
  <c r="O38" i="9"/>
  <c r="O42" i="9"/>
  <c r="P42" i="9" s="1"/>
  <c r="O19" i="9"/>
  <c r="O20" i="9"/>
  <c r="O21" i="9"/>
  <c r="O22" i="9"/>
  <c r="O24" i="9"/>
  <c r="D15" i="9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E6" i="9"/>
  <c r="F6" i="9"/>
  <c r="G6" i="9"/>
  <c r="H6" i="9"/>
  <c r="I6" i="9"/>
  <c r="J6" i="9"/>
  <c r="K6" i="9"/>
  <c r="L6" i="9"/>
  <c r="M6" i="9"/>
  <c r="N6" i="9"/>
  <c r="E7" i="9"/>
  <c r="F7" i="9"/>
  <c r="G7" i="9"/>
  <c r="H7" i="9"/>
  <c r="I7" i="9"/>
  <c r="J7" i="9"/>
  <c r="K7" i="9"/>
  <c r="L7" i="9"/>
  <c r="M7" i="9"/>
  <c r="N7" i="9"/>
  <c r="E8" i="9"/>
  <c r="F8" i="9"/>
  <c r="G8" i="9"/>
  <c r="H8" i="9"/>
  <c r="I8" i="9"/>
  <c r="J8" i="9"/>
  <c r="K8" i="9"/>
  <c r="L8" i="9"/>
  <c r="M8" i="9"/>
  <c r="N8" i="9"/>
  <c r="E9" i="9"/>
  <c r="F9" i="9"/>
  <c r="G9" i="9"/>
  <c r="H9" i="9"/>
  <c r="I9" i="9"/>
  <c r="J9" i="9"/>
  <c r="K9" i="9"/>
  <c r="L9" i="9"/>
  <c r="M9" i="9"/>
  <c r="N9" i="9"/>
  <c r="E10" i="9"/>
  <c r="F10" i="9"/>
  <c r="G10" i="9"/>
  <c r="H10" i="9"/>
  <c r="I10" i="9"/>
  <c r="J10" i="9"/>
  <c r="K10" i="9"/>
  <c r="L10" i="9"/>
  <c r="M10" i="9"/>
  <c r="N10" i="9"/>
  <c r="E11" i="9"/>
  <c r="F11" i="9"/>
  <c r="G11" i="9"/>
  <c r="H11" i="9"/>
  <c r="I11" i="9"/>
  <c r="J11" i="9"/>
  <c r="K11" i="9"/>
  <c r="L11" i="9"/>
  <c r="M11" i="9"/>
  <c r="N11" i="9"/>
  <c r="E12" i="9"/>
  <c r="F12" i="9"/>
  <c r="G12" i="9"/>
  <c r="H12" i="9"/>
  <c r="I12" i="9"/>
  <c r="J12" i="9"/>
  <c r="K12" i="9"/>
  <c r="L12" i="9"/>
  <c r="M12" i="9"/>
  <c r="N12" i="9"/>
  <c r="E13" i="9"/>
  <c r="F13" i="9"/>
  <c r="G13" i="9"/>
  <c r="H13" i="9"/>
  <c r="I13" i="9"/>
  <c r="J13" i="9"/>
  <c r="K13" i="9"/>
  <c r="L13" i="9"/>
  <c r="M13" i="9"/>
  <c r="N13" i="9"/>
  <c r="P53" i="9"/>
  <c r="P57" i="9"/>
  <c r="P146" i="9"/>
  <c r="P147" i="9"/>
  <c r="P148" i="9"/>
  <c r="P151" i="9"/>
  <c r="P152" i="9"/>
  <c r="P153" i="9"/>
  <c r="P154" i="9"/>
  <c r="P155" i="9"/>
  <c r="D6" i="9"/>
  <c r="D7" i="9"/>
  <c r="D8" i="9"/>
  <c r="D9" i="9"/>
  <c r="D10" i="9"/>
  <c r="D11" i="9"/>
  <c r="D12" i="9"/>
  <c r="D13" i="9"/>
  <c r="C7" i="9"/>
  <c r="C8" i="9"/>
  <c r="C9" i="9"/>
  <c r="C10" i="9"/>
  <c r="C11" i="9"/>
  <c r="C12" i="9"/>
  <c r="C13" i="9"/>
  <c r="C6" i="9"/>
  <c r="E9" i="10" l="1"/>
  <c r="AM9" i="10"/>
  <c r="AM10" i="10"/>
  <c r="E10" i="10"/>
  <c r="E8" i="10"/>
  <c r="AM8" i="10"/>
  <c r="AO8" i="10" s="1"/>
  <c r="E7" i="10"/>
  <c r="AM7" i="10"/>
  <c r="AM11" i="10"/>
  <c r="G59" i="9"/>
  <c r="O10" i="9"/>
  <c r="O9" i="9"/>
  <c r="P9" i="9" s="1"/>
  <c r="K14" i="9"/>
  <c r="O12" i="9"/>
  <c r="P12" i="9" s="1"/>
  <c r="O13" i="9"/>
  <c r="L14" i="9"/>
  <c r="J14" i="9"/>
  <c r="H14" i="9"/>
  <c r="O11" i="9"/>
  <c r="F14" i="9"/>
  <c r="I14" i="9"/>
  <c r="G14" i="9"/>
  <c r="E14" i="9"/>
  <c r="N14" i="9"/>
  <c r="M14" i="9"/>
  <c r="O7" i="9"/>
  <c r="O8" i="9"/>
  <c r="K25" i="9"/>
  <c r="L25" i="9" s="1"/>
  <c r="M25" i="9" s="1"/>
  <c r="N25" i="9" s="1"/>
  <c r="O39" i="9"/>
  <c r="H59" i="9" l="1"/>
  <c r="O25" i="9"/>
  <c r="I59" i="9" l="1"/>
  <c r="J59" i="9" l="1"/>
  <c r="K59" i="9" l="1"/>
  <c r="L59" i="9" l="1"/>
  <c r="M59" i="9" l="1"/>
  <c r="N59" i="9" l="1"/>
  <c r="O59" i="9" l="1"/>
  <c r="B130" i="9" l="1"/>
  <c r="B129" i="9"/>
  <c r="B128" i="9"/>
  <c r="B127" i="9"/>
  <c r="B126" i="9"/>
  <c r="B125" i="9"/>
  <c r="B124" i="9"/>
  <c r="B123" i="9"/>
  <c r="B122" i="9"/>
  <c r="B95" i="9"/>
  <c r="B140" i="9"/>
  <c r="B134" i="9"/>
  <c r="B87" i="9"/>
  <c r="B120" i="9"/>
  <c r="B132" i="9"/>
  <c r="B99" i="9"/>
  <c r="B93" i="9"/>
  <c r="B135" i="9"/>
  <c r="B104" i="9"/>
  <c r="B118" i="9"/>
  <c r="B114" i="9"/>
  <c r="B85" i="9"/>
  <c r="B84" i="9"/>
  <c r="B77" i="9"/>
  <c r="C77" i="9" s="1"/>
  <c r="C72" i="9" s="1"/>
  <c r="B75" i="9"/>
  <c r="B73" i="9"/>
  <c r="B71" i="9"/>
  <c r="P71" i="9" s="1"/>
  <c r="B70" i="9"/>
  <c r="P70" i="9" s="1"/>
  <c r="B76" i="9"/>
  <c r="P69" i="9" s="1"/>
  <c r="B68" i="9"/>
  <c r="P68" i="9" s="1"/>
  <c r="B67" i="9"/>
  <c r="B66" i="9"/>
  <c r="P66" i="9" s="1"/>
  <c r="B52" i="9"/>
  <c r="B63" i="9"/>
  <c r="P63" i="9" s="1"/>
  <c r="B65" i="9"/>
  <c r="P65" i="9" s="1"/>
  <c r="B64" i="9"/>
  <c r="B56" i="9"/>
  <c r="B62" i="9"/>
  <c r="P62" i="9" s="1"/>
  <c r="B61" i="9"/>
  <c r="P61" i="9" s="1"/>
  <c r="B60" i="9"/>
  <c r="P60" i="9" s="1"/>
  <c r="B59" i="9"/>
  <c r="B55" i="9"/>
  <c r="B54" i="9" s="1"/>
  <c r="B91" i="9"/>
  <c r="B46" i="9"/>
  <c r="B90" i="9"/>
  <c r="B112" i="9"/>
  <c r="B119" i="9"/>
  <c r="B136" i="9"/>
  <c r="B111" i="9"/>
  <c r="B110" i="9"/>
  <c r="B94" i="9"/>
  <c r="B106" i="9"/>
  <c r="B105" i="9"/>
  <c r="B102" i="9"/>
  <c r="B107" i="9"/>
  <c r="B100" i="9"/>
  <c r="B98" i="9"/>
  <c r="B96" i="9"/>
  <c r="B88" i="9"/>
  <c r="B108" i="9"/>
  <c r="B86" i="9"/>
  <c r="B133" i="9"/>
  <c r="B139" i="9"/>
  <c r="B137" i="9"/>
  <c r="B117" i="9"/>
  <c r="B116" i="9"/>
  <c r="B138" i="9"/>
  <c r="B131" i="9"/>
  <c r="B115" i="9"/>
  <c r="B142" i="9"/>
  <c r="B141" i="9"/>
  <c r="B15" i="9"/>
  <c r="B41" i="9"/>
  <c r="B40" i="9"/>
  <c r="C40" i="9" s="1"/>
  <c r="B30" i="9"/>
  <c r="P30" i="9" s="1"/>
  <c r="B25" i="9"/>
  <c r="P25" i="9" s="1"/>
  <c r="B39" i="9"/>
  <c r="P39" i="9" s="1"/>
  <c r="B38" i="9"/>
  <c r="P38" i="9" s="1"/>
  <c r="B29" i="9"/>
  <c r="C29" i="9" s="1"/>
  <c r="B28" i="9"/>
  <c r="B24" i="9"/>
  <c r="P24" i="9" s="1"/>
  <c r="B37" i="9"/>
  <c r="B23" i="9"/>
  <c r="E23" i="9" s="1"/>
  <c r="E17" i="9" s="1"/>
  <c r="B22" i="9"/>
  <c r="P22" i="9" s="1"/>
  <c r="B21" i="9"/>
  <c r="P21" i="9" s="1"/>
  <c r="B20" i="9"/>
  <c r="P20" i="9" s="1"/>
  <c r="B19" i="9"/>
  <c r="P19" i="9" s="1"/>
  <c r="B18" i="9"/>
  <c r="A18" i="9"/>
  <c r="B31" i="9"/>
  <c r="K31" i="9" s="1"/>
  <c r="O31" i="9" s="1"/>
  <c r="P31" i="9" s="1"/>
  <c r="A12" i="9"/>
  <c r="A11" i="9"/>
  <c r="C141" i="9" l="1"/>
  <c r="P116" i="9"/>
  <c r="P117" i="9"/>
  <c r="AQ68" i="10"/>
  <c r="C115" i="9"/>
  <c r="C134" i="9"/>
  <c r="C88" i="9"/>
  <c r="C140" i="9"/>
  <c r="C85" i="9"/>
  <c r="C95" i="9"/>
  <c r="C90" i="9"/>
  <c r="C114" i="9"/>
  <c r="P122" i="9"/>
  <c r="P123" i="9"/>
  <c r="P124" i="9"/>
  <c r="P126" i="9"/>
  <c r="P127" i="9"/>
  <c r="C118" i="9"/>
  <c r="P125" i="9"/>
  <c r="C139" i="9"/>
  <c r="P128" i="9"/>
  <c r="C133" i="9"/>
  <c r="P129" i="9"/>
  <c r="C104" i="9"/>
  <c r="C102" i="9"/>
  <c r="C135" i="9"/>
  <c r="C105" i="9"/>
  <c r="C86" i="9"/>
  <c r="P130" i="9"/>
  <c r="P59" i="9"/>
  <c r="B58" i="9"/>
  <c r="D77" i="9"/>
  <c r="C67" i="9"/>
  <c r="C64" i="9"/>
  <c r="C41" i="9"/>
  <c r="B36" i="9"/>
  <c r="B17" i="9"/>
  <c r="G18" i="9"/>
  <c r="B72" i="9"/>
  <c r="P73" i="9"/>
  <c r="F23" i="9"/>
  <c r="P37" i="9"/>
  <c r="B27" i="9"/>
  <c r="C28" i="9"/>
  <c r="C27" i="9" s="1"/>
  <c r="AM19" i="10" s="1"/>
  <c r="B51" i="9"/>
  <c r="P52" i="9"/>
  <c r="D29" i="9"/>
  <c r="E29" i="9" s="1"/>
  <c r="F29" i="9" s="1"/>
  <c r="G29" i="9" s="1"/>
  <c r="H29" i="9" s="1"/>
  <c r="I29" i="9" s="1"/>
  <c r="J29" i="9" s="1"/>
  <c r="K29" i="9" s="1"/>
  <c r="L29" i="9" s="1"/>
  <c r="M29" i="9" s="1"/>
  <c r="N29" i="9" s="1"/>
  <c r="D40" i="9"/>
  <c r="P56" i="9"/>
  <c r="AN95" i="10"/>
  <c r="AN94" i="10"/>
  <c r="AO94" i="10" s="1"/>
  <c r="AP94" i="10" s="1"/>
  <c r="AN93" i="10"/>
  <c r="AO93" i="10" s="1"/>
  <c r="AP93" i="10" s="1"/>
  <c r="AN90" i="10"/>
  <c r="AN89" i="10"/>
  <c r="AN88" i="10"/>
  <c r="AO71" i="10"/>
  <c r="AN69" i="10"/>
  <c r="AN67" i="10"/>
  <c r="AO67" i="10" s="1"/>
  <c r="AN65" i="10"/>
  <c r="AO65" i="10" s="1"/>
  <c r="AN63" i="10"/>
  <c r="AN62" i="10"/>
  <c r="AO62" i="10" s="1"/>
  <c r="AN59" i="10"/>
  <c r="AO59" i="10" s="1"/>
  <c r="AN58" i="10"/>
  <c r="AN55" i="10"/>
  <c r="AN53" i="10"/>
  <c r="AN52" i="10"/>
  <c r="AN34" i="10"/>
  <c r="AN20" i="10"/>
  <c r="AL12" i="10"/>
  <c r="AL11" i="10"/>
  <c r="D88" i="9" l="1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D115" i="9"/>
  <c r="E115" i="9" s="1"/>
  <c r="F115" i="9" s="1"/>
  <c r="G115" i="9" s="1"/>
  <c r="H115" i="9" s="1"/>
  <c r="I115" i="9" s="1"/>
  <c r="J115" i="9" s="1"/>
  <c r="K115" i="9" s="1"/>
  <c r="L115" i="9" s="1"/>
  <c r="M115" i="9" s="1"/>
  <c r="N115" i="9" s="1"/>
  <c r="D134" i="9"/>
  <c r="E134" i="9" s="1"/>
  <c r="F134" i="9" s="1"/>
  <c r="G134" i="9" s="1"/>
  <c r="H134" i="9" s="1"/>
  <c r="I134" i="9" s="1"/>
  <c r="J134" i="9" s="1"/>
  <c r="K134" i="9" s="1"/>
  <c r="L134" i="9" s="1"/>
  <c r="M134" i="9" s="1"/>
  <c r="N134" i="9" s="1"/>
  <c r="D105" i="9"/>
  <c r="E105" i="9" s="1"/>
  <c r="F105" i="9" s="1"/>
  <c r="G105" i="9" s="1"/>
  <c r="H105" i="9" s="1"/>
  <c r="I105" i="9" s="1"/>
  <c r="J105" i="9" s="1"/>
  <c r="K105" i="9" s="1"/>
  <c r="L105" i="9" s="1"/>
  <c r="M105" i="9" s="1"/>
  <c r="N105" i="9" s="1"/>
  <c r="D135" i="9"/>
  <c r="E135" i="9" s="1"/>
  <c r="F135" i="9" s="1"/>
  <c r="G135" i="9" s="1"/>
  <c r="H135" i="9" s="1"/>
  <c r="I135" i="9" s="1"/>
  <c r="J135" i="9" s="1"/>
  <c r="K135" i="9" s="1"/>
  <c r="L135" i="9" s="1"/>
  <c r="M135" i="9" s="1"/>
  <c r="N135" i="9" s="1"/>
  <c r="D114" i="9"/>
  <c r="E114" i="9" s="1"/>
  <c r="F114" i="9" s="1"/>
  <c r="G114" i="9" s="1"/>
  <c r="H114" i="9" s="1"/>
  <c r="I114" i="9" s="1"/>
  <c r="J114" i="9" s="1"/>
  <c r="K114" i="9" s="1"/>
  <c r="L114" i="9" s="1"/>
  <c r="M114" i="9" s="1"/>
  <c r="N114" i="9" s="1"/>
  <c r="D90" i="9"/>
  <c r="E90" i="9" s="1"/>
  <c r="F90" i="9" s="1"/>
  <c r="G90" i="9" s="1"/>
  <c r="H90" i="9" s="1"/>
  <c r="I90" i="9" s="1"/>
  <c r="J90" i="9" s="1"/>
  <c r="K90" i="9" s="1"/>
  <c r="L90" i="9" s="1"/>
  <c r="M90" i="9" s="1"/>
  <c r="N90" i="9" s="1"/>
  <c r="D139" i="9"/>
  <c r="E139" i="9" s="1"/>
  <c r="F139" i="9" s="1"/>
  <c r="G139" i="9" s="1"/>
  <c r="H139" i="9" s="1"/>
  <c r="I139" i="9" s="1"/>
  <c r="J139" i="9" s="1"/>
  <c r="K139" i="9" s="1"/>
  <c r="L139" i="9" s="1"/>
  <c r="M139" i="9" s="1"/>
  <c r="N139" i="9" s="1"/>
  <c r="D102" i="9"/>
  <c r="E102" i="9" s="1"/>
  <c r="F102" i="9" s="1"/>
  <c r="G102" i="9" s="1"/>
  <c r="H102" i="9" s="1"/>
  <c r="I102" i="9" s="1"/>
  <c r="J102" i="9" s="1"/>
  <c r="K102" i="9" s="1"/>
  <c r="L102" i="9" s="1"/>
  <c r="M102" i="9" s="1"/>
  <c r="N102" i="9" s="1"/>
  <c r="D104" i="9"/>
  <c r="E104" i="9" s="1"/>
  <c r="F104" i="9" s="1"/>
  <c r="G104" i="9" s="1"/>
  <c r="H104" i="9" s="1"/>
  <c r="I104" i="9" s="1"/>
  <c r="J104" i="9" s="1"/>
  <c r="K104" i="9" s="1"/>
  <c r="L104" i="9" s="1"/>
  <c r="M104" i="9" s="1"/>
  <c r="N104" i="9" s="1"/>
  <c r="D95" i="9"/>
  <c r="E95" i="9" s="1"/>
  <c r="F95" i="9" s="1"/>
  <c r="G95" i="9" s="1"/>
  <c r="H95" i="9" s="1"/>
  <c r="I95" i="9" s="1"/>
  <c r="J95" i="9" s="1"/>
  <c r="K95" i="9" s="1"/>
  <c r="L95" i="9" s="1"/>
  <c r="M95" i="9" s="1"/>
  <c r="N95" i="9" s="1"/>
  <c r="D86" i="9"/>
  <c r="E86" i="9" s="1"/>
  <c r="F86" i="9" s="1"/>
  <c r="G86" i="9" s="1"/>
  <c r="H86" i="9" s="1"/>
  <c r="I86" i="9" s="1"/>
  <c r="J86" i="9" s="1"/>
  <c r="K86" i="9" s="1"/>
  <c r="L86" i="9" s="1"/>
  <c r="M86" i="9" s="1"/>
  <c r="N86" i="9" s="1"/>
  <c r="D118" i="9"/>
  <c r="E118" i="9" s="1"/>
  <c r="F118" i="9" s="1"/>
  <c r="G118" i="9" s="1"/>
  <c r="H118" i="9" s="1"/>
  <c r="I118" i="9" s="1"/>
  <c r="J118" i="9" s="1"/>
  <c r="K118" i="9" s="1"/>
  <c r="L118" i="9" s="1"/>
  <c r="M118" i="9" s="1"/>
  <c r="N118" i="9" s="1"/>
  <c r="D85" i="9"/>
  <c r="E85" i="9" s="1"/>
  <c r="F85" i="9" s="1"/>
  <c r="G85" i="9" s="1"/>
  <c r="H85" i="9" s="1"/>
  <c r="I85" i="9" s="1"/>
  <c r="J85" i="9" s="1"/>
  <c r="K85" i="9" s="1"/>
  <c r="L85" i="9" s="1"/>
  <c r="M85" i="9" s="1"/>
  <c r="N85" i="9" s="1"/>
  <c r="D133" i="9"/>
  <c r="E133" i="9" s="1"/>
  <c r="F133" i="9" s="1"/>
  <c r="G133" i="9" s="1"/>
  <c r="H133" i="9" s="1"/>
  <c r="I133" i="9" s="1"/>
  <c r="J133" i="9" s="1"/>
  <c r="K133" i="9" s="1"/>
  <c r="L133" i="9" s="1"/>
  <c r="M133" i="9" s="1"/>
  <c r="N133" i="9" s="1"/>
  <c r="D140" i="9"/>
  <c r="E140" i="9" s="1"/>
  <c r="F140" i="9" s="1"/>
  <c r="G140" i="9" s="1"/>
  <c r="H140" i="9" s="1"/>
  <c r="I140" i="9" s="1"/>
  <c r="J140" i="9" s="1"/>
  <c r="K140" i="9" s="1"/>
  <c r="L140" i="9" s="1"/>
  <c r="M140" i="9" s="1"/>
  <c r="N140" i="9" s="1"/>
  <c r="D141" i="9"/>
  <c r="E141" i="9" s="1"/>
  <c r="F141" i="9" s="1"/>
  <c r="G141" i="9" s="1"/>
  <c r="H141" i="9" s="1"/>
  <c r="I141" i="9" s="1"/>
  <c r="J141" i="9" s="1"/>
  <c r="K141" i="9" s="1"/>
  <c r="L141" i="9" s="1"/>
  <c r="M141" i="9" s="1"/>
  <c r="N141" i="9" s="1"/>
  <c r="B97" i="10"/>
  <c r="O118" i="9"/>
  <c r="B80" i="9"/>
  <c r="C58" i="9"/>
  <c r="E77" i="9"/>
  <c r="D72" i="9"/>
  <c r="D67" i="9"/>
  <c r="E67" i="9" s="1"/>
  <c r="F67" i="9" s="1"/>
  <c r="G67" i="9" s="1"/>
  <c r="H67" i="9" s="1"/>
  <c r="I67" i="9" s="1"/>
  <c r="J67" i="9" s="1"/>
  <c r="K67" i="9" s="1"/>
  <c r="L67" i="9" s="1"/>
  <c r="M67" i="9" s="1"/>
  <c r="N67" i="9" s="1"/>
  <c r="D64" i="9"/>
  <c r="O18" i="9"/>
  <c r="P18" i="9" s="1"/>
  <c r="E40" i="9"/>
  <c r="G23" i="9"/>
  <c r="H23" i="9" s="1"/>
  <c r="F17" i="9"/>
  <c r="C36" i="9"/>
  <c r="D41" i="9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O29" i="9"/>
  <c r="P29" i="9" s="1"/>
  <c r="B44" i="9"/>
  <c r="D28" i="9"/>
  <c r="AL71" i="10"/>
  <c r="AJ69" i="10"/>
  <c r="AL31" i="10"/>
  <c r="O104" i="9" l="1"/>
  <c r="E52" i="10"/>
  <c r="AM52" i="10"/>
  <c r="AO52" i="10" s="1"/>
  <c r="AL69" i="10"/>
  <c r="AJ86" i="10"/>
  <c r="AJ98" i="10" s="1"/>
  <c r="E48" i="10"/>
  <c r="AM48" i="10"/>
  <c r="AO48" i="10" s="1"/>
  <c r="AP48" i="10" s="1"/>
  <c r="E83" i="10"/>
  <c r="AM83" i="10"/>
  <c r="AO83" i="10" s="1"/>
  <c r="AP83" i="10" s="1"/>
  <c r="E77" i="10"/>
  <c r="AM77" i="10"/>
  <c r="AO77" i="10" s="1"/>
  <c r="AP77" i="10" s="1"/>
  <c r="E43" i="10"/>
  <c r="AM43" i="10"/>
  <c r="AO43" i="10" s="1"/>
  <c r="AP43" i="10" s="1"/>
  <c r="E64" i="10"/>
  <c r="AM64" i="10"/>
  <c r="E84" i="10"/>
  <c r="AM84" i="10"/>
  <c r="AO84" i="10" s="1"/>
  <c r="AP84" i="10" s="1"/>
  <c r="C80" i="9"/>
  <c r="E63" i="10"/>
  <c r="AM63" i="10"/>
  <c r="AO63" i="10" s="1"/>
  <c r="E82" i="10"/>
  <c r="AM82" i="10"/>
  <c r="AO82" i="10" s="1"/>
  <c r="AP82" i="10" s="1"/>
  <c r="E72" i="10"/>
  <c r="AM72" i="10"/>
  <c r="AO72" i="10" s="1"/>
  <c r="AP72" i="10" s="1"/>
  <c r="E44" i="10"/>
  <c r="AM44" i="10"/>
  <c r="AO44" i="10" s="1"/>
  <c r="AP44" i="10" s="1"/>
  <c r="AM58" i="10"/>
  <c r="AO58" i="10" s="1"/>
  <c r="E58" i="10"/>
  <c r="AM78" i="10"/>
  <c r="AO78" i="10" s="1"/>
  <c r="AP78" i="10" s="1"/>
  <c r="E78" i="10"/>
  <c r="E47" i="10"/>
  <c r="AM47" i="10"/>
  <c r="AO47" i="10" s="1"/>
  <c r="AP47" i="10" s="1"/>
  <c r="E55" i="10"/>
  <c r="AM55" i="10"/>
  <c r="AO55" i="10" s="1"/>
  <c r="AM53" i="10"/>
  <c r="AO53" i="10" s="1"/>
  <c r="E53" i="10"/>
  <c r="AM38" i="10"/>
  <c r="AO38" i="10" s="1"/>
  <c r="AP38" i="10" s="1"/>
  <c r="E38" i="10"/>
  <c r="C44" i="9"/>
  <c r="F77" i="9"/>
  <c r="E72" i="9"/>
  <c r="E64" i="9"/>
  <c r="D58" i="9"/>
  <c r="O67" i="9"/>
  <c r="P67" i="9" s="1"/>
  <c r="O41" i="9"/>
  <c r="P41" i="9" s="1"/>
  <c r="D36" i="9"/>
  <c r="I23" i="9"/>
  <c r="H17" i="9"/>
  <c r="G17" i="9"/>
  <c r="F40" i="9"/>
  <c r="E36" i="9"/>
  <c r="E28" i="9"/>
  <c r="D27" i="9"/>
  <c r="F64" i="9" l="1"/>
  <c r="E58" i="9"/>
  <c r="G77" i="9"/>
  <c r="F72" i="9"/>
  <c r="G40" i="9"/>
  <c r="F36" i="9"/>
  <c r="F28" i="9"/>
  <c r="E27" i="9"/>
  <c r="E44" i="9" s="1"/>
  <c r="J23" i="9"/>
  <c r="I17" i="9"/>
  <c r="D44" i="9"/>
  <c r="AH26" i="10"/>
  <c r="AI71" i="10"/>
  <c r="AG69" i="10"/>
  <c r="AI11" i="10"/>
  <c r="AV99" i="10"/>
  <c r="AI69" i="10" l="1"/>
  <c r="AG86" i="10"/>
  <c r="AG98" i="10" s="1"/>
  <c r="H77" i="9"/>
  <c r="G72" i="9"/>
  <c r="G64" i="9"/>
  <c r="F58" i="9"/>
  <c r="K23" i="9"/>
  <c r="J17" i="9"/>
  <c r="G28" i="9"/>
  <c r="F27" i="9"/>
  <c r="F44" i="9" s="1"/>
  <c r="H40" i="9"/>
  <c r="G36" i="9"/>
  <c r="AH35" i="10"/>
  <c r="AE26" i="10"/>
  <c r="AE35" i="10"/>
  <c r="AE23" i="10"/>
  <c r="H64" i="9" l="1"/>
  <c r="G58" i="9"/>
  <c r="I77" i="9"/>
  <c r="H72" i="9"/>
  <c r="I40" i="9"/>
  <c r="H36" i="9"/>
  <c r="H28" i="9"/>
  <c r="G27" i="9"/>
  <c r="G44" i="9" s="1"/>
  <c r="L23" i="9"/>
  <c r="K17" i="9"/>
  <c r="AE27" i="10"/>
  <c r="AE99" i="10" s="1"/>
  <c r="AE100" i="10" l="1"/>
  <c r="I64" i="9"/>
  <c r="H58" i="9"/>
  <c r="J77" i="9"/>
  <c r="I72" i="9"/>
  <c r="I28" i="9"/>
  <c r="H27" i="9"/>
  <c r="H44" i="9" s="1"/>
  <c r="M23" i="9"/>
  <c r="L17" i="9"/>
  <c r="J40" i="9"/>
  <c r="I36" i="9"/>
  <c r="K77" i="9" l="1"/>
  <c r="J72" i="9"/>
  <c r="J64" i="9"/>
  <c r="I58" i="9"/>
  <c r="N23" i="9"/>
  <c r="N17" i="9" s="1"/>
  <c r="M17" i="9"/>
  <c r="O17" i="9" s="1"/>
  <c r="K40" i="9"/>
  <c r="J36" i="9"/>
  <c r="J28" i="9"/>
  <c r="I27" i="9"/>
  <c r="I44" i="9" s="1"/>
  <c r="AF71" i="10"/>
  <c r="AF69" i="10"/>
  <c r="AF11" i="10"/>
  <c r="O23" i="9" l="1"/>
  <c r="P23" i="9" s="1"/>
  <c r="L77" i="9"/>
  <c r="K72" i="9"/>
  <c r="K64" i="9"/>
  <c r="J58" i="9"/>
  <c r="K28" i="9"/>
  <c r="J27" i="9"/>
  <c r="J44" i="9" s="1"/>
  <c r="L40" i="9"/>
  <c r="K36" i="9"/>
  <c r="L64" i="9" l="1"/>
  <c r="K58" i="9"/>
  <c r="M77" i="9"/>
  <c r="L72" i="9"/>
  <c r="M40" i="9"/>
  <c r="L36" i="9"/>
  <c r="L28" i="9"/>
  <c r="K27" i="9"/>
  <c r="AA69" i="10"/>
  <c r="AC71" i="10"/>
  <c r="AC69" i="10" l="1"/>
  <c r="AA86" i="10"/>
  <c r="N77" i="9"/>
  <c r="N72" i="9" s="1"/>
  <c r="M72" i="9"/>
  <c r="M64" i="9"/>
  <c r="L58" i="9"/>
  <c r="M28" i="9"/>
  <c r="L27" i="9"/>
  <c r="L44" i="9" s="1"/>
  <c r="K44" i="9"/>
  <c r="N40" i="9"/>
  <c r="N36" i="9" s="1"/>
  <c r="M36" i="9"/>
  <c r="AC11" i="10"/>
  <c r="AB23" i="10"/>
  <c r="AB26" i="10"/>
  <c r="AB35" i="10"/>
  <c r="O77" i="9" l="1"/>
  <c r="O72" i="9" s="1"/>
  <c r="N64" i="9"/>
  <c r="M58" i="9"/>
  <c r="O40" i="9"/>
  <c r="P40" i="9" s="1"/>
  <c r="O36" i="9"/>
  <c r="N28" i="9"/>
  <c r="M27" i="9"/>
  <c r="AB27" i="10"/>
  <c r="AB99" i="10" s="1"/>
  <c r="AB100" i="10" s="1"/>
  <c r="N58" i="9" l="1"/>
  <c r="N80" i="9" s="1"/>
  <c r="O64" i="9"/>
  <c r="M44" i="9"/>
  <c r="N27" i="9"/>
  <c r="N44" i="9" s="1"/>
  <c r="O28" i="9"/>
  <c r="P28" i="9" s="1"/>
  <c r="P64" i="9" l="1"/>
  <c r="O58" i="9"/>
  <c r="O27" i="9"/>
  <c r="Z11" i="10" l="1"/>
  <c r="Z71" i="10" l="1"/>
  <c r="Z69" i="10"/>
  <c r="Y35" i="10"/>
  <c r="Y26" i="10"/>
  <c r="Y23" i="10"/>
  <c r="I80" i="9" l="1"/>
  <c r="Y27" i="10"/>
  <c r="Y99" i="10" s="1"/>
  <c r="Y100" i="10" s="1"/>
  <c r="W69" i="10"/>
  <c r="W71" i="10"/>
  <c r="W11" i="10"/>
  <c r="V35" i="10" l="1"/>
  <c r="V23" i="10"/>
  <c r="V26" i="10"/>
  <c r="AN11" i="10" l="1"/>
  <c r="V27" i="10"/>
  <c r="V99" i="10" s="1"/>
  <c r="V100" i="10" s="1"/>
  <c r="AO11" i="10" l="1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A10" i="14" l="1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71" i="10"/>
  <c r="T69" i="10"/>
  <c r="T11" i="10"/>
  <c r="S35" i="10"/>
  <c r="S26" i="10"/>
  <c r="AN61" i="10"/>
  <c r="AO61" i="10" s="1"/>
  <c r="AB12" i="14" l="1"/>
  <c r="G88" i="14"/>
  <c r="G89" i="14" s="1"/>
  <c r="AB87" i="14"/>
  <c r="C89" i="14"/>
  <c r="P88" i="14"/>
  <c r="S23" i="10"/>
  <c r="S27" i="10" s="1"/>
  <c r="S99" i="10" s="1"/>
  <c r="S100" i="10" l="1"/>
  <c r="P89" i="14"/>
  <c r="AN9" i="10"/>
  <c r="AO9" i="10" s="1"/>
  <c r="Q71" i="10"/>
  <c r="Q69" i="10"/>
  <c r="Q11" i="10"/>
  <c r="AN6" i="10" l="1"/>
  <c r="AN7" i="10"/>
  <c r="AO7" i="10" s="1"/>
  <c r="AN17" i="10"/>
  <c r="AN64" i="10"/>
  <c r="AO64" i="10" s="1"/>
  <c r="AN29" i="10" l="1"/>
  <c r="M26" i="14"/>
  <c r="M27" i="14"/>
  <c r="M15" i="14"/>
  <c r="M19" i="14"/>
  <c r="M16" i="14"/>
  <c r="M29" i="14" l="1"/>
  <c r="M28" i="14"/>
  <c r="AB26" i="14"/>
  <c r="M20" i="14"/>
  <c r="M24" i="14" s="1"/>
  <c r="M30" i="14"/>
  <c r="N71" i="10"/>
  <c r="N69" i="10"/>
  <c r="M26" i="10"/>
  <c r="AN10" i="10"/>
  <c r="AN15" i="10" s="1"/>
  <c r="AO10" i="10" l="1"/>
  <c r="M34" i="14"/>
  <c r="M23" i="10"/>
  <c r="M27" i="10" s="1"/>
  <c r="M88" i="14"/>
  <c r="M89" i="14" s="1"/>
  <c r="N11" i="10"/>
  <c r="M35" i="10"/>
  <c r="AN91" i="10"/>
  <c r="AN56" i="10"/>
  <c r="AO56" i="10" s="1"/>
  <c r="AN54" i="10"/>
  <c r="AO54" i="10" s="1"/>
  <c r="AN66" i="10"/>
  <c r="AO66" i="10" s="1"/>
  <c r="AN57" i="10"/>
  <c r="AO57" i="10" s="1"/>
  <c r="AN96" i="10"/>
  <c r="AO96" i="10" s="1"/>
  <c r="AP96" i="10" s="1"/>
  <c r="AN92" i="10"/>
  <c r="AO92" i="10" s="1"/>
  <c r="AP92" i="10" s="1"/>
  <c r="AO91" i="10" l="1"/>
  <c r="AP91" i="10" s="1"/>
  <c r="AN97" i="10"/>
  <c r="M99" i="10"/>
  <c r="M100" i="10" s="1"/>
  <c r="AN21" i="10"/>
  <c r="J18" i="14"/>
  <c r="AB18" i="14" s="1"/>
  <c r="AN25" i="10"/>
  <c r="J22" i="14"/>
  <c r="AN30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8" i="10"/>
  <c r="AO18" i="10" s="1"/>
  <c r="J15" i="14"/>
  <c r="J20" i="14" l="1"/>
  <c r="J24" i="14" s="1"/>
  <c r="AB15" i="14"/>
  <c r="AB20" i="14" s="1"/>
  <c r="AB24" i="14" s="1"/>
  <c r="AB27" i="14"/>
  <c r="AB34" i="14" s="1"/>
  <c r="J34" i="14"/>
  <c r="K71" i="10"/>
  <c r="K69" i="10"/>
  <c r="AQ11" i="10"/>
  <c r="F69" i="10"/>
  <c r="AN51" i="10"/>
  <c r="AN86" i="10" s="1"/>
  <c r="AN98" i="10" s="1"/>
  <c r="AM69" i="10" l="1"/>
  <c r="AO69" i="10" s="1"/>
  <c r="AQ69" i="10"/>
  <c r="AQ71" i="10"/>
  <c r="J88" i="14"/>
  <c r="J89" i="14" s="1"/>
  <c r="AB91" i="14" s="1"/>
  <c r="AB88" i="14"/>
  <c r="AB89" i="14" s="1"/>
  <c r="K11" i="10"/>
  <c r="AN31" i="10"/>
  <c r="AN32" i="10"/>
  <c r="AN33" i="10"/>
  <c r="AN19" i="10"/>
  <c r="AO19" i="10" s="1"/>
  <c r="AN22" i="10"/>
  <c r="G35" i="10" l="1"/>
  <c r="G23" i="10"/>
  <c r="AP11" i="10" l="1"/>
  <c r="H11" i="10"/>
  <c r="H12" i="10"/>
  <c r="E96" i="10" l="1"/>
  <c r="E95" i="10"/>
  <c r="E94" i="10"/>
  <c r="E93" i="10"/>
  <c r="E92" i="10"/>
  <c r="E91" i="10"/>
  <c r="E90" i="10"/>
  <c r="E89" i="10"/>
  <c r="E88" i="10"/>
  <c r="H71" i="10"/>
  <c r="AP71" i="10"/>
  <c r="AP69" i="10"/>
  <c r="H69" i="10"/>
  <c r="D35" i="10"/>
  <c r="E33" i="10"/>
  <c r="E32" i="10"/>
  <c r="E31" i="10"/>
  <c r="E28" i="10"/>
  <c r="D26" i="10"/>
  <c r="G26" i="10"/>
  <c r="G27" i="10" s="1"/>
  <c r="G99" i="10" s="1"/>
  <c r="G100" i="10" s="1"/>
  <c r="E25" i="10"/>
  <c r="D23" i="10"/>
  <c r="C23" i="10"/>
  <c r="E22" i="10"/>
  <c r="E21" i="10"/>
  <c r="E20" i="10"/>
  <c r="E19" i="10"/>
  <c r="E18" i="10"/>
  <c r="E17" i="10"/>
  <c r="E16" i="10"/>
  <c r="H10" i="10"/>
  <c r="H9" i="10"/>
  <c r="H7" i="10"/>
  <c r="H6" i="10"/>
  <c r="E6" i="10"/>
  <c r="E15" i="10" s="1"/>
  <c r="AL19" i="10"/>
  <c r="AL91" i="10"/>
  <c r="AL56" i="10"/>
  <c r="O140" i="9"/>
  <c r="P140" i="9" s="1"/>
  <c r="O138" i="9"/>
  <c r="P138" i="9" s="1"/>
  <c r="O109" i="9"/>
  <c r="P109" i="9" s="1"/>
  <c r="O108" i="9"/>
  <c r="P108" i="9" s="1"/>
  <c r="P99" i="9"/>
  <c r="AL96" i="10"/>
  <c r="AI96" i="10"/>
  <c r="AF96" i="10"/>
  <c r="AC96" i="10"/>
  <c r="Z96" i="10"/>
  <c r="W96" i="10"/>
  <c r="N119" i="9"/>
  <c r="AL95" i="10" s="1"/>
  <c r="M119" i="9"/>
  <c r="AI95" i="10" s="1"/>
  <c r="L119" i="9"/>
  <c r="AF95" i="10" s="1"/>
  <c r="K119" i="9"/>
  <c r="AC95" i="10" s="1"/>
  <c r="Z95" i="10"/>
  <c r="W95" i="10"/>
  <c r="H119" i="9"/>
  <c r="G119" i="9"/>
  <c r="E119" i="9"/>
  <c r="AL94" i="10"/>
  <c r="AI94" i="10"/>
  <c r="AF94" i="10"/>
  <c r="AC94" i="10"/>
  <c r="Z94" i="10"/>
  <c r="W94" i="10"/>
  <c r="AL93" i="10"/>
  <c r="AI93" i="10"/>
  <c r="AF93" i="10"/>
  <c r="AC93" i="10"/>
  <c r="Z93" i="10"/>
  <c r="W93" i="10"/>
  <c r="N137" i="9"/>
  <c r="L137" i="9"/>
  <c r="K137" i="9"/>
  <c r="H137" i="9"/>
  <c r="G137" i="9"/>
  <c r="F137" i="9"/>
  <c r="N136" i="9"/>
  <c r="M136" i="9"/>
  <c r="F86" i="14"/>
  <c r="F83" i="14"/>
  <c r="D137" i="9"/>
  <c r="F74" i="14"/>
  <c r="D119" i="9"/>
  <c r="F70" i="14"/>
  <c r="AI91" i="10"/>
  <c r="AF91" i="10"/>
  <c r="AC91" i="10"/>
  <c r="Z91" i="10"/>
  <c r="W91" i="10"/>
  <c r="AL90" i="10"/>
  <c r="AI90" i="10"/>
  <c r="AF90" i="10"/>
  <c r="AA90" i="10"/>
  <c r="AC90" i="10" s="1"/>
  <c r="Z90" i="10"/>
  <c r="W90" i="10"/>
  <c r="AL89" i="10"/>
  <c r="M112" i="9"/>
  <c r="AI89" i="10" s="1"/>
  <c r="AF89" i="10"/>
  <c r="K112" i="9"/>
  <c r="AA89" i="10" s="1"/>
  <c r="AC89" i="10" s="1"/>
  <c r="Z89" i="10"/>
  <c r="I112" i="9"/>
  <c r="W89" i="10" s="1"/>
  <c r="G112" i="9"/>
  <c r="AL88" i="10"/>
  <c r="AI88" i="10"/>
  <c r="AD88" i="10"/>
  <c r="AA88" i="10"/>
  <c r="Z88" i="10"/>
  <c r="W88" i="10"/>
  <c r="AL70" i="10"/>
  <c r="AI70" i="10"/>
  <c r="AF70" i="10"/>
  <c r="AC70" i="10"/>
  <c r="Z70" i="10"/>
  <c r="W70" i="10"/>
  <c r="AL67" i="10"/>
  <c r="AI67" i="10"/>
  <c r="AF67" i="10"/>
  <c r="AC67" i="10"/>
  <c r="Z67" i="10"/>
  <c r="W67" i="10"/>
  <c r="AL66" i="10"/>
  <c r="AI66" i="10"/>
  <c r="AF66" i="10"/>
  <c r="AC66" i="10"/>
  <c r="Z66" i="10"/>
  <c r="W66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1" i="10"/>
  <c r="AI61" i="10"/>
  <c r="AF61" i="10"/>
  <c r="AC61" i="10"/>
  <c r="Z61" i="10"/>
  <c r="W61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AL57" i="10"/>
  <c r="AI57" i="10"/>
  <c r="AF57" i="10"/>
  <c r="AC57" i="10"/>
  <c r="Z57" i="10"/>
  <c r="W57" i="10"/>
  <c r="N92" i="9"/>
  <c r="M92" i="9"/>
  <c r="L92" i="9"/>
  <c r="J92" i="9"/>
  <c r="I92" i="9"/>
  <c r="H92" i="9"/>
  <c r="G92" i="9"/>
  <c r="E92" i="9"/>
  <c r="D92" i="9"/>
  <c r="M91" i="9"/>
  <c r="L91" i="9"/>
  <c r="AI56" i="10"/>
  <c r="AF56" i="10"/>
  <c r="AC56" i="10"/>
  <c r="Z56" i="10"/>
  <c r="W56" i="10"/>
  <c r="AL55" i="10"/>
  <c r="AI55" i="10"/>
  <c r="AF55" i="10"/>
  <c r="AC55" i="10"/>
  <c r="Z55" i="10"/>
  <c r="W55" i="10"/>
  <c r="AL54" i="10"/>
  <c r="AI54" i="10"/>
  <c r="AF54" i="10"/>
  <c r="AC54" i="10"/>
  <c r="Z54" i="10"/>
  <c r="W54" i="10"/>
  <c r="D91" i="9"/>
  <c r="N84" i="9"/>
  <c r="AL52" i="10" s="1"/>
  <c r="M84" i="9"/>
  <c r="AI52" i="10" s="1"/>
  <c r="AF52" i="10"/>
  <c r="K84" i="9"/>
  <c r="AC52" i="10" s="1"/>
  <c r="J84" i="9"/>
  <c r="Z52" i="10" s="1"/>
  <c r="I84" i="9"/>
  <c r="W52" i="10" s="1"/>
  <c r="G84" i="9"/>
  <c r="F84" i="9"/>
  <c r="E84" i="9"/>
  <c r="F68" i="14"/>
  <c r="D84" i="9"/>
  <c r="AL33" i="10"/>
  <c r="AI33" i="10"/>
  <c r="F80" i="9"/>
  <c r="E80" i="9"/>
  <c r="D80" i="9"/>
  <c r="AL32" i="10"/>
  <c r="AL29" i="10"/>
  <c r="AJ34" i="10"/>
  <c r="AL34" i="10" s="1"/>
  <c r="AI34" i="10"/>
  <c r="AF34" i="10"/>
  <c r="AA34" i="10"/>
  <c r="AC34" i="10" s="1"/>
  <c r="X34" i="10"/>
  <c r="Z34" i="10" s="1"/>
  <c r="U34" i="10"/>
  <c r="W34" i="10" s="1"/>
  <c r="AF33" i="10"/>
  <c r="AC33" i="10"/>
  <c r="Z33" i="10"/>
  <c r="W33" i="10"/>
  <c r="AI32" i="10"/>
  <c r="AF32" i="10"/>
  <c r="AC32" i="10"/>
  <c r="Z32" i="10"/>
  <c r="W32" i="10"/>
  <c r="W31" i="10"/>
  <c r="H80" i="9"/>
  <c r="G80" i="9"/>
  <c r="AL30" i="10"/>
  <c r="AI30" i="10"/>
  <c r="AF30" i="10"/>
  <c r="AC30" i="10"/>
  <c r="Z30" i="10"/>
  <c r="W30" i="10"/>
  <c r="AI29" i="10"/>
  <c r="AF29" i="10"/>
  <c r="AC29" i="10"/>
  <c r="Z29" i="10"/>
  <c r="W29" i="10"/>
  <c r="AI28" i="10"/>
  <c r="C27" i="8"/>
  <c r="AJ25" i="10"/>
  <c r="AL25" i="10" s="1"/>
  <c r="AI25" i="10"/>
  <c r="AC25" i="10"/>
  <c r="W25" i="10"/>
  <c r="AL22" i="10"/>
  <c r="AL18" i="10"/>
  <c r="Z18" i="10"/>
  <c r="W18" i="10"/>
  <c r="AI22" i="10"/>
  <c r="AF22" i="10"/>
  <c r="AC22" i="10"/>
  <c r="Z22" i="10"/>
  <c r="W22" i="10"/>
  <c r="AL21" i="10"/>
  <c r="AI21" i="10"/>
  <c r="AF21" i="10"/>
  <c r="AC21" i="10"/>
  <c r="Z21" i="10"/>
  <c r="W21" i="10"/>
  <c r="AL20" i="10"/>
  <c r="AI20" i="10"/>
  <c r="AF20" i="10"/>
  <c r="AC20" i="10"/>
  <c r="Z20" i="10"/>
  <c r="W20" i="10"/>
  <c r="AI19" i="10"/>
  <c r="AF19" i="10"/>
  <c r="AC19" i="10"/>
  <c r="Z19" i="10"/>
  <c r="W19" i="10"/>
  <c r="AI18" i="10"/>
  <c r="AF18" i="10"/>
  <c r="AL17" i="10"/>
  <c r="AI17" i="10"/>
  <c r="AF17" i="10"/>
  <c r="AC17" i="10"/>
  <c r="Z17" i="10"/>
  <c r="W17" i="10"/>
  <c r="AF16" i="10"/>
  <c r="AC16" i="10"/>
  <c r="P11" i="9"/>
  <c r="AI12" i="10"/>
  <c r="AF12" i="10"/>
  <c r="AA12" i="10"/>
  <c r="AA15" i="10" s="1"/>
  <c r="Z12" i="10"/>
  <c r="W12" i="10"/>
  <c r="AL10" i="10"/>
  <c r="AI10" i="10"/>
  <c r="AF10" i="10"/>
  <c r="AC10" i="10"/>
  <c r="Z10" i="10"/>
  <c r="W10" i="10"/>
  <c r="AL9" i="10"/>
  <c r="AI9" i="10"/>
  <c r="AF9" i="10"/>
  <c r="AC9" i="10"/>
  <c r="Z9" i="10"/>
  <c r="W9" i="10"/>
  <c r="AL7" i="10"/>
  <c r="AI7" i="10"/>
  <c r="AF7" i="10"/>
  <c r="AC7" i="10"/>
  <c r="Z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E97" i="10" l="1"/>
  <c r="AC12" i="10"/>
  <c r="AC15" i="10" s="1"/>
  <c r="AM12" i="10"/>
  <c r="AO12" i="10" s="1"/>
  <c r="AC88" i="10"/>
  <c r="AA97" i="10"/>
  <c r="AA98" i="10" s="1"/>
  <c r="AF88" i="10"/>
  <c r="AD97" i="10"/>
  <c r="AD98" i="10" s="1"/>
  <c r="O131" i="9"/>
  <c r="O119" i="9"/>
  <c r="P119" i="9" s="1"/>
  <c r="O102" i="9"/>
  <c r="P102" i="9" s="1"/>
  <c r="F54" i="14"/>
  <c r="H54" i="14" s="1"/>
  <c r="O103" i="9"/>
  <c r="AF31" i="10"/>
  <c r="L80" i="9"/>
  <c r="AC31" i="10"/>
  <c r="K80" i="9"/>
  <c r="AI31" i="10"/>
  <c r="AI35" i="10" s="1"/>
  <c r="M80" i="9"/>
  <c r="Z31" i="10"/>
  <c r="J80" i="9"/>
  <c r="AJ35" i="10"/>
  <c r="AJ23" i="10"/>
  <c r="AL6" i="10"/>
  <c r="AG23" i="10"/>
  <c r="E30" i="10"/>
  <c r="E35" i="10" s="1"/>
  <c r="AF6" i="10"/>
  <c r="AF23" i="10"/>
  <c r="Z28" i="10"/>
  <c r="Z25" i="10"/>
  <c r="AF25" i="10"/>
  <c r="AD23" i="10"/>
  <c r="AA23" i="10"/>
  <c r="AC28" i="10"/>
  <c r="AC6" i="10"/>
  <c r="Z16" i="10"/>
  <c r="Z23" i="10" s="1"/>
  <c r="X23" i="10"/>
  <c r="Z6" i="10"/>
  <c r="U23" i="10"/>
  <c r="W16" i="10"/>
  <c r="W23" i="10" s="1"/>
  <c r="W28" i="10"/>
  <c r="W35" i="10" s="1"/>
  <c r="U35" i="10"/>
  <c r="F56" i="14"/>
  <c r="H68" i="14"/>
  <c r="F40" i="14"/>
  <c r="N7" i="10"/>
  <c r="L7" i="14"/>
  <c r="N7" i="14" s="1"/>
  <c r="T9" i="10"/>
  <c r="R8" i="14"/>
  <c r="T8" i="14" s="1"/>
  <c r="N16" i="10"/>
  <c r="L13" i="14"/>
  <c r="N30" i="10"/>
  <c r="L27" i="14"/>
  <c r="N27" i="14" s="1"/>
  <c r="N33" i="10"/>
  <c r="L30" i="14"/>
  <c r="N30" i="14" s="1"/>
  <c r="F41" i="14"/>
  <c r="K56" i="10"/>
  <c r="I43" i="14"/>
  <c r="K43" i="14" s="1"/>
  <c r="R45" i="14"/>
  <c r="T45" i="14" s="1"/>
  <c r="N63" i="10"/>
  <c r="L54" i="14"/>
  <c r="N54" i="14" s="1"/>
  <c r="T64" i="10"/>
  <c r="R55" i="14"/>
  <c r="T55" i="14" s="1"/>
  <c r="F66" i="14"/>
  <c r="K67" i="10"/>
  <c r="I58" i="14"/>
  <c r="K58" i="14" s="1"/>
  <c r="Q70" i="10"/>
  <c r="O61" i="14"/>
  <c r="Q61" i="14" s="1"/>
  <c r="H70" i="14"/>
  <c r="H83" i="14"/>
  <c r="I79" i="14"/>
  <c r="K79" i="14" s="1"/>
  <c r="O80" i="14"/>
  <c r="Q80" i="14" s="1"/>
  <c r="K93" i="10"/>
  <c r="I69" i="14"/>
  <c r="Q94" i="10"/>
  <c r="O70" i="14"/>
  <c r="Q70" i="14" s="1"/>
  <c r="I75" i="14"/>
  <c r="K75" i="14" s="1"/>
  <c r="R76" i="14"/>
  <c r="T76" i="14" s="1"/>
  <c r="F19" i="14"/>
  <c r="O13" i="14"/>
  <c r="N22" i="10"/>
  <c r="L19" i="14"/>
  <c r="N19" i="14" s="1"/>
  <c r="F27" i="14"/>
  <c r="O30" i="10"/>
  <c r="Q30" i="10" s="1"/>
  <c r="O27" i="14"/>
  <c r="Q27" i="14" s="1"/>
  <c r="Q33" i="10"/>
  <c r="O30" i="14"/>
  <c r="Q30" i="14" s="1"/>
  <c r="F42" i="14"/>
  <c r="N56" i="10"/>
  <c r="L43" i="14"/>
  <c r="N43" i="14" s="1"/>
  <c r="F49" i="14"/>
  <c r="K62" i="10"/>
  <c r="I53" i="14"/>
  <c r="K53" i="14" s="1"/>
  <c r="Q63" i="10"/>
  <c r="O54" i="14"/>
  <c r="Q54" i="14" s="1"/>
  <c r="F67" i="14"/>
  <c r="N67" i="10"/>
  <c r="L58" i="14"/>
  <c r="N58" i="14" s="1"/>
  <c r="T70" i="10"/>
  <c r="R61" i="14"/>
  <c r="T61" i="14" s="1"/>
  <c r="F71" i="14"/>
  <c r="F85" i="14"/>
  <c r="L79" i="14"/>
  <c r="N79" i="14" s="1"/>
  <c r="R80" i="14"/>
  <c r="T80" i="14" s="1"/>
  <c r="N93" i="10"/>
  <c r="L69" i="14"/>
  <c r="N69" i="14" s="1"/>
  <c r="T94" i="10"/>
  <c r="R70" i="14"/>
  <c r="T70" i="14" s="1"/>
  <c r="L75" i="14"/>
  <c r="N75" i="14" s="1"/>
  <c r="T7" i="10"/>
  <c r="R7" i="14"/>
  <c r="T7" i="14" s="1"/>
  <c r="T16" i="10"/>
  <c r="R13" i="14"/>
  <c r="T13" i="14" s="1"/>
  <c r="Q22" i="10"/>
  <c r="O19" i="14"/>
  <c r="Q19" i="14" s="1"/>
  <c r="F18" i="14"/>
  <c r="F31" i="14"/>
  <c r="K29" i="10"/>
  <c r="I26" i="14"/>
  <c r="K26" i="14" s="1"/>
  <c r="T30" i="10"/>
  <c r="R27" i="14"/>
  <c r="T27" i="14" s="1"/>
  <c r="T33" i="10"/>
  <c r="R30" i="14"/>
  <c r="T30" i="14" s="1"/>
  <c r="K32" i="10"/>
  <c r="I29" i="14"/>
  <c r="K29" i="14" s="1"/>
  <c r="I38" i="14"/>
  <c r="K38" i="14" s="1"/>
  <c r="F43" i="14"/>
  <c r="K55" i="10"/>
  <c r="I42" i="14"/>
  <c r="K42" i="14" s="1"/>
  <c r="Q56" i="10"/>
  <c r="O43" i="14"/>
  <c r="Q43" i="14" s="1"/>
  <c r="F50" i="14"/>
  <c r="N62" i="10"/>
  <c r="L53" i="14"/>
  <c r="N53" i="14" s="1"/>
  <c r="T63" i="10"/>
  <c r="R54" i="14"/>
  <c r="T54" i="14" s="1"/>
  <c r="K66" i="10"/>
  <c r="I57" i="14"/>
  <c r="K57" i="14" s="1"/>
  <c r="Q67" i="10"/>
  <c r="O58" i="14"/>
  <c r="Q58" i="14" s="1"/>
  <c r="K91" i="10"/>
  <c r="I67" i="14"/>
  <c r="K67" i="14" s="1"/>
  <c r="F72" i="14"/>
  <c r="H86" i="14"/>
  <c r="O79" i="14"/>
  <c r="Q79" i="14" s="1"/>
  <c r="I86" i="14"/>
  <c r="K86" i="14" s="1"/>
  <c r="Q93" i="10"/>
  <c r="O69" i="14"/>
  <c r="Q69" i="14" s="1"/>
  <c r="I74" i="14"/>
  <c r="K74" i="14" s="1"/>
  <c r="O75" i="14"/>
  <c r="Q75" i="14" s="1"/>
  <c r="F39" i="14"/>
  <c r="F46" i="14"/>
  <c r="Q6" i="10"/>
  <c r="O6" i="14"/>
  <c r="K21" i="10"/>
  <c r="I18" i="14"/>
  <c r="K18" i="14" s="1"/>
  <c r="K19" i="10"/>
  <c r="I16" i="14"/>
  <c r="K16" i="14" s="1"/>
  <c r="F32" i="14"/>
  <c r="L29" i="10"/>
  <c r="N29" i="10" s="1"/>
  <c r="L26" i="14"/>
  <c r="N26" i="14" s="1"/>
  <c r="I33" i="14"/>
  <c r="K33" i="14" s="1"/>
  <c r="F29" i="14"/>
  <c r="L38" i="14"/>
  <c r="N38" i="14" s="1"/>
  <c r="F44" i="14"/>
  <c r="N55" i="10"/>
  <c r="L42" i="14"/>
  <c r="N42" i="14" s="1"/>
  <c r="T56" i="10"/>
  <c r="R43" i="14"/>
  <c r="T43" i="14" s="1"/>
  <c r="K57" i="10"/>
  <c r="I48" i="14"/>
  <c r="K48" i="14" s="1"/>
  <c r="F52" i="14"/>
  <c r="K61" i="10"/>
  <c r="I52" i="14"/>
  <c r="K52" i="14" s="1"/>
  <c r="Q62" i="10"/>
  <c r="O53" i="14"/>
  <c r="Q53" i="14" s="1"/>
  <c r="N66" i="10"/>
  <c r="L57" i="14"/>
  <c r="N57" i="14" s="1"/>
  <c r="T67" i="10"/>
  <c r="R58" i="14"/>
  <c r="T58" i="14" s="1"/>
  <c r="N91" i="10"/>
  <c r="L67" i="14"/>
  <c r="N67" i="14" s="1"/>
  <c r="F73" i="14"/>
  <c r="I78" i="14"/>
  <c r="K78" i="14" s="1"/>
  <c r="R79" i="14"/>
  <c r="T79" i="14" s="1"/>
  <c r="L86" i="14"/>
  <c r="N86" i="14" s="1"/>
  <c r="T93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N21" i="10"/>
  <c r="L18" i="14"/>
  <c r="N18" i="14" s="1"/>
  <c r="K22" i="10"/>
  <c r="I19" i="14"/>
  <c r="K19" i="14" s="1"/>
  <c r="F33" i="14"/>
  <c r="O29" i="10"/>
  <c r="Q29" i="10" s="1"/>
  <c r="O26" i="14"/>
  <c r="Q26" i="14" s="1"/>
  <c r="N32" i="10"/>
  <c r="L29" i="14"/>
  <c r="N29" i="14" s="1"/>
  <c r="L33" i="14"/>
  <c r="N33" i="14" s="1"/>
  <c r="K52" i="10"/>
  <c r="I37" i="14"/>
  <c r="K37" i="14" s="1"/>
  <c r="O38" i="14"/>
  <c r="Q38" i="14" s="1"/>
  <c r="K54" i="10"/>
  <c r="I41" i="14"/>
  <c r="K41" i="14" s="1"/>
  <c r="Q55" i="10"/>
  <c r="O42" i="14"/>
  <c r="Q42" i="14" s="1"/>
  <c r="N57" i="10"/>
  <c r="L48" i="14"/>
  <c r="N48" i="14" s="1"/>
  <c r="F53" i="14"/>
  <c r="N61" i="10"/>
  <c r="L52" i="14"/>
  <c r="N52" i="14" s="1"/>
  <c r="T62" i="10"/>
  <c r="R53" i="14"/>
  <c r="T53" i="14" s="1"/>
  <c r="Q66" i="10"/>
  <c r="O57" i="14"/>
  <c r="Q57" i="14" s="1"/>
  <c r="K90" i="10"/>
  <c r="I66" i="14"/>
  <c r="K66" i="14" s="1"/>
  <c r="Q91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0" i="10"/>
  <c r="I17" i="14"/>
  <c r="K17" i="14" s="1"/>
  <c r="Q21" i="10"/>
  <c r="O18" i="14"/>
  <c r="Q18" i="14" s="1"/>
  <c r="K25" i="10"/>
  <c r="I22" i="14"/>
  <c r="K22" i="14" s="1"/>
  <c r="I25" i="14"/>
  <c r="T29" i="10"/>
  <c r="R26" i="14"/>
  <c r="T26" i="14" s="1"/>
  <c r="Q32" i="10"/>
  <c r="O29" i="14"/>
  <c r="Q29" i="14" s="1"/>
  <c r="I32" i="14"/>
  <c r="K32" i="14" s="1"/>
  <c r="O33" i="14"/>
  <c r="Q33" i="14" s="1"/>
  <c r="F28" i="14"/>
  <c r="F37" i="14"/>
  <c r="N52" i="10"/>
  <c r="L37" i="14"/>
  <c r="N37" i="14" s="1"/>
  <c r="R38" i="14"/>
  <c r="T38" i="14" s="1"/>
  <c r="N54" i="10"/>
  <c r="L41" i="14"/>
  <c r="N41" i="14" s="1"/>
  <c r="T55" i="10"/>
  <c r="R42" i="14"/>
  <c r="T42" i="14" s="1"/>
  <c r="I47" i="14"/>
  <c r="K47" i="14" s="1"/>
  <c r="Q57" i="10"/>
  <c r="O48" i="14"/>
  <c r="Q48" i="14" s="1"/>
  <c r="K59" i="10"/>
  <c r="I50" i="14"/>
  <c r="K50" i="14" s="1"/>
  <c r="Q61" i="10"/>
  <c r="O52" i="14"/>
  <c r="Q52" i="14" s="1"/>
  <c r="T66" i="10"/>
  <c r="R57" i="14"/>
  <c r="T57" i="14" s="1"/>
  <c r="L90" i="10"/>
  <c r="L66" i="14"/>
  <c r="N66" i="14" s="1"/>
  <c r="T91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N12" i="10"/>
  <c r="L11" i="14"/>
  <c r="N11" i="14" s="1"/>
  <c r="T18" i="10"/>
  <c r="R15" i="14"/>
  <c r="T15" i="14" s="1"/>
  <c r="N20" i="10"/>
  <c r="L17" i="14"/>
  <c r="N17" i="14" s="1"/>
  <c r="T21" i="10"/>
  <c r="R18" i="14"/>
  <c r="T18" i="14" s="1"/>
  <c r="N25" i="10"/>
  <c r="L22" i="14"/>
  <c r="N22" i="14" s="1"/>
  <c r="N28" i="10"/>
  <c r="L25" i="14"/>
  <c r="T32" i="10"/>
  <c r="R29" i="14"/>
  <c r="T29" i="14" s="1"/>
  <c r="L32" i="14"/>
  <c r="N32" i="14" s="1"/>
  <c r="K31" i="10"/>
  <c r="I28" i="14"/>
  <c r="K28" i="14" s="1"/>
  <c r="F38" i="14"/>
  <c r="Q52" i="10"/>
  <c r="O37" i="14"/>
  <c r="Q37" i="14" s="1"/>
  <c r="Q54" i="10"/>
  <c r="O41" i="14"/>
  <c r="Q41" i="14" s="1"/>
  <c r="F45" i="14"/>
  <c r="L47" i="14"/>
  <c r="N47" i="14" s="1"/>
  <c r="T57" i="10"/>
  <c r="R48" i="14"/>
  <c r="T48" i="14" s="1"/>
  <c r="F55" i="14"/>
  <c r="N59" i="10"/>
  <c r="L50" i="14"/>
  <c r="N50" i="14" s="1"/>
  <c r="T61" i="10"/>
  <c r="R52" i="14"/>
  <c r="T52" i="14" s="1"/>
  <c r="K89" i="10"/>
  <c r="I65" i="14"/>
  <c r="K65" i="14" s="1"/>
  <c r="Q90" i="10"/>
  <c r="O66" i="14"/>
  <c r="Q66" i="14" s="1"/>
  <c r="F76" i="14"/>
  <c r="R78" i="14"/>
  <c r="T78" i="14" s="1"/>
  <c r="I83" i="14"/>
  <c r="K83" i="14" s="1"/>
  <c r="O85" i="14"/>
  <c r="Q85" i="14" s="1"/>
  <c r="K96" i="10"/>
  <c r="I72" i="14"/>
  <c r="K72" i="14" s="1"/>
  <c r="O73" i="14"/>
  <c r="Q73" i="14" s="1"/>
  <c r="R39" i="14"/>
  <c r="T39" i="14" s="1"/>
  <c r="N19" i="10"/>
  <c r="L16" i="14"/>
  <c r="N16" i="14" s="1"/>
  <c r="Q7" i="10"/>
  <c r="O7" i="14"/>
  <c r="Q7" i="14" s="1"/>
  <c r="Q12" i="10"/>
  <c r="O11" i="14"/>
  <c r="Q11" i="14" s="1"/>
  <c r="Q20" i="10"/>
  <c r="O17" i="14"/>
  <c r="Q17" i="14" s="1"/>
  <c r="F22" i="14"/>
  <c r="Q25" i="10"/>
  <c r="O22" i="14"/>
  <c r="Q22" i="14" s="1"/>
  <c r="O25" i="14"/>
  <c r="K34" i="10"/>
  <c r="I31" i="14"/>
  <c r="K31" i="14" s="1"/>
  <c r="O32" i="14"/>
  <c r="Q32" i="14" s="1"/>
  <c r="N31" i="10"/>
  <c r="L28" i="14"/>
  <c r="N28" i="14" s="1"/>
  <c r="T52" i="10"/>
  <c r="R37" i="14"/>
  <c r="T37" i="14" s="1"/>
  <c r="T54" i="10"/>
  <c r="R41" i="14"/>
  <c r="T41" i="14" s="1"/>
  <c r="F47" i="14"/>
  <c r="I46" i="14"/>
  <c r="K46" i="14" s="1"/>
  <c r="O47" i="14"/>
  <c r="Q47" i="14" s="1"/>
  <c r="K58" i="10"/>
  <c r="I49" i="14"/>
  <c r="K49" i="14" s="1"/>
  <c r="Q59" i="10"/>
  <c r="O50" i="14"/>
  <c r="Q50" i="14" s="1"/>
  <c r="F57" i="14"/>
  <c r="N89" i="10"/>
  <c r="L65" i="14"/>
  <c r="N65" i="14" s="1"/>
  <c r="T90" i="10"/>
  <c r="R66" i="14"/>
  <c r="T66" i="14" s="1"/>
  <c r="F77" i="14"/>
  <c r="L83" i="14"/>
  <c r="N83" i="14" s="1"/>
  <c r="R85" i="14"/>
  <c r="T85" i="14" s="1"/>
  <c r="N96" i="10"/>
  <c r="L72" i="14"/>
  <c r="N72" i="14" s="1"/>
  <c r="R73" i="14"/>
  <c r="T73" i="14" s="1"/>
  <c r="I77" i="14"/>
  <c r="K77" i="14" s="1"/>
  <c r="Q18" i="10"/>
  <c r="O15" i="14"/>
  <c r="Q15" i="14" s="1"/>
  <c r="I9" i="14"/>
  <c r="N10" i="10"/>
  <c r="L9" i="14"/>
  <c r="N9" i="14" s="1"/>
  <c r="T12" i="10"/>
  <c r="R11" i="14"/>
  <c r="T11" i="14" s="1"/>
  <c r="F13" i="14"/>
  <c r="K17" i="10"/>
  <c r="I14" i="14"/>
  <c r="K14" i="14" s="1"/>
  <c r="T20" i="10"/>
  <c r="R17" i="14"/>
  <c r="T17" i="14" s="1"/>
  <c r="T25" i="10"/>
  <c r="R22" i="14"/>
  <c r="T22" i="14" s="1"/>
  <c r="T28" i="10"/>
  <c r="R25" i="14"/>
  <c r="L34" i="10"/>
  <c r="N34" i="10" s="1"/>
  <c r="L31" i="14"/>
  <c r="N31" i="14" s="1"/>
  <c r="F48" i="14"/>
  <c r="R47" i="14"/>
  <c r="T47" i="14" s="1"/>
  <c r="N58" i="10"/>
  <c r="L49" i="14"/>
  <c r="N49" i="14" s="1"/>
  <c r="T59" i="10"/>
  <c r="R50" i="14"/>
  <c r="T50" i="14" s="1"/>
  <c r="F58" i="14"/>
  <c r="K88" i="10"/>
  <c r="I64" i="14"/>
  <c r="K64" i="14" s="1"/>
  <c r="O89" i="10"/>
  <c r="O65" i="14"/>
  <c r="Q65" i="14" s="1"/>
  <c r="F78" i="14"/>
  <c r="I81" i="14"/>
  <c r="O83" i="14"/>
  <c r="Q83" i="14" s="1"/>
  <c r="K95" i="10"/>
  <c r="I71" i="14"/>
  <c r="K71" i="14" s="1"/>
  <c r="Q96" i="10"/>
  <c r="O72" i="14"/>
  <c r="Q72" i="14" s="1"/>
  <c r="L77" i="14"/>
  <c r="N77" i="14" s="1"/>
  <c r="T22" i="10"/>
  <c r="R19" i="14"/>
  <c r="T19" i="14" s="1"/>
  <c r="I8" i="14"/>
  <c r="Q10" i="10"/>
  <c r="O9" i="14"/>
  <c r="Q9" i="14" s="1"/>
  <c r="F17" i="14"/>
  <c r="N17" i="10"/>
  <c r="L14" i="14"/>
  <c r="N14" i="14" s="1"/>
  <c r="K18" i="10"/>
  <c r="I15" i="14"/>
  <c r="K15" i="14" s="1"/>
  <c r="F25" i="14"/>
  <c r="Q31" i="10"/>
  <c r="O28" i="14"/>
  <c r="Q28" i="14" s="1"/>
  <c r="O34" i="10"/>
  <c r="Q34" i="10" s="1"/>
  <c r="O31" i="14"/>
  <c r="Q31" i="14" s="1"/>
  <c r="K33" i="10"/>
  <c r="I30" i="14"/>
  <c r="K30" i="14" s="1"/>
  <c r="I44" i="14"/>
  <c r="K44" i="14" s="1"/>
  <c r="I45" i="14"/>
  <c r="K45" i="14" s="1"/>
  <c r="O46" i="14"/>
  <c r="Q46" i="14" s="1"/>
  <c r="Q58" i="10"/>
  <c r="O49" i="14"/>
  <c r="Q49" i="14" s="1"/>
  <c r="K64" i="10"/>
  <c r="I55" i="14"/>
  <c r="K55" i="14" s="1"/>
  <c r="F70" i="10"/>
  <c r="F61" i="14"/>
  <c r="N88" i="10"/>
  <c r="L64" i="14"/>
  <c r="N64" i="14" s="1"/>
  <c r="T89" i="10"/>
  <c r="R65" i="14"/>
  <c r="T65" i="14" s="1"/>
  <c r="F79" i="14"/>
  <c r="L81" i="14"/>
  <c r="N81" i="14" s="1"/>
  <c r="R83" i="14"/>
  <c r="T83" i="14" s="1"/>
  <c r="N95" i="10"/>
  <c r="L71" i="14"/>
  <c r="N71" i="14" s="1"/>
  <c r="T96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7" i="10"/>
  <c r="F14" i="14"/>
  <c r="Q17" i="10"/>
  <c r="O14" i="14"/>
  <c r="Q14" i="14" s="1"/>
  <c r="Q19" i="10"/>
  <c r="O16" i="14"/>
  <c r="Q16" i="14" s="1"/>
  <c r="N18" i="10"/>
  <c r="L15" i="14"/>
  <c r="N15" i="14" s="1"/>
  <c r="F26" i="14"/>
  <c r="R28" i="14"/>
  <c r="T28" i="14" s="1"/>
  <c r="R34" i="10"/>
  <c r="T34" i="10" s="1"/>
  <c r="R31" i="14"/>
  <c r="T31" i="14" s="1"/>
  <c r="L44" i="14"/>
  <c r="N44" i="14" s="1"/>
  <c r="L45" i="14"/>
  <c r="N45" i="14" s="1"/>
  <c r="R46" i="14"/>
  <c r="T46" i="14" s="1"/>
  <c r="T58" i="10"/>
  <c r="R49" i="14"/>
  <c r="T49" i="14" s="1"/>
  <c r="N64" i="10"/>
  <c r="L55" i="14"/>
  <c r="N55" i="14" s="1"/>
  <c r="F88" i="10"/>
  <c r="F64" i="14"/>
  <c r="K70" i="10"/>
  <c r="I61" i="14"/>
  <c r="K61" i="14" s="1"/>
  <c r="O88" i="10"/>
  <c r="O64" i="14"/>
  <c r="Q64" i="14" s="1"/>
  <c r="F80" i="14"/>
  <c r="I80" i="14"/>
  <c r="K80" i="14" s="1"/>
  <c r="O81" i="14"/>
  <c r="Q81" i="14" s="1"/>
  <c r="K94" i="10"/>
  <c r="I70" i="14"/>
  <c r="K70" i="14" s="1"/>
  <c r="O95" i="10"/>
  <c r="O71" i="14"/>
  <c r="Q71" i="14" s="1"/>
  <c r="L76" i="14"/>
  <c r="N76" i="14" s="1"/>
  <c r="R77" i="14"/>
  <c r="T77" i="14" s="1"/>
  <c r="F15" i="14"/>
  <c r="I7" i="14"/>
  <c r="Q9" i="10"/>
  <c r="O8" i="14"/>
  <c r="Q8" i="14" s="1"/>
  <c r="I13" i="14"/>
  <c r="T17" i="10"/>
  <c r="R14" i="14"/>
  <c r="T14" i="14" s="1"/>
  <c r="T19" i="10"/>
  <c r="R16" i="14"/>
  <c r="T16" i="14" s="1"/>
  <c r="K30" i="10"/>
  <c r="I27" i="14"/>
  <c r="K27" i="14" s="1"/>
  <c r="F30" i="14"/>
  <c r="R44" i="14"/>
  <c r="T44" i="14" s="1"/>
  <c r="O45" i="14"/>
  <c r="Q45" i="14" s="1"/>
  <c r="K63" i="10"/>
  <c r="I54" i="14"/>
  <c r="K54" i="14" s="1"/>
  <c r="Q64" i="10"/>
  <c r="O55" i="14"/>
  <c r="Q55" i="14" s="1"/>
  <c r="F65" i="14"/>
  <c r="N70" i="10"/>
  <c r="L61" i="14"/>
  <c r="N61" i="14" s="1"/>
  <c r="T88" i="10"/>
  <c r="R64" i="14"/>
  <c r="T64" i="14" s="1"/>
  <c r="F69" i="14"/>
  <c r="H69" i="14" s="1"/>
  <c r="F81" i="14"/>
  <c r="H81" i="14" s="1"/>
  <c r="L80" i="14"/>
  <c r="N80" i="14" s="1"/>
  <c r="R81" i="14"/>
  <c r="T81" i="14" s="1"/>
  <c r="N94" i="10"/>
  <c r="L70" i="14"/>
  <c r="N70" i="14" s="1"/>
  <c r="R95" i="10"/>
  <c r="R71" i="14"/>
  <c r="T71" i="14" s="1"/>
  <c r="O76" i="14"/>
  <c r="Q76" i="14" s="1"/>
  <c r="F16" i="14"/>
  <c r="D27" i="10"/>
  <c r="D99" i="10" s="1"/>
  <c r="D100" i="10" s="1"/>
  <c r="E23" i="10"/>
  <c r="B35" i="10"/>
  <c r="B23" i="10"/>
  <c r="P118" i="9"/>
  <c r="O139" i="9"/>
  <c r="P139" i="9" s="1"/>
  <c r="P103" i="9"/>
  <c r="O142" i="9"/>
  <c r="P142" i="9" s="1"/>
  <c r="D14" i="9"/>
  <c r="P132" i="9"/>
  <c r="O92" i="9"/>
  <c r="P92" i="9" s="1"/>
  <c r="P104" i="9"/>
  <c r="O141" i="9"/>
  <c r="P141" i="9" s="1"/>
  <c r="O49" i="9"/>
  <c r="O94" i="9"/>
  <c r="P94" i="9" s="1"/>
  <c r="I56" i="14"/>
  <c r="K56" i="14" s="1"/>
  <c r="P120" i="9"/>
  <c r="P7" i="9"/>
  <c r="O50" i="9"/>
  <c r="P50" i="9" s="1"/>
  <c r="O95" i="9"/>
  <c r="P95" i="9" s="1"/>
  <c r="P131" i="9"/>
  <c r="O6" i="9"/>
  <c r="P6" i="9" s="1"/>
  <c r="O84" i="9"/>
  <c r="P84" i="9" s="1"/>
  <c r="I40" i="14"/>
  <c r="K40" i="14" s="1"/>
  <c r="O106" i="9"/>
  <c r="P106" i="9" s="1"/>
  <c r="O112" i="9"/>
  <c r="P112" i="9" s="1"/>
  <c r="O135" i="9"/>
  <c r="P135" i="9" s="1"/>
  <c r="P51" i="9"/>
  <c r="O107" i="9"/>
  <c r="P107" i="9" s="1"/>
  <c r="O133" i="9"/>
  <c r="P133" i="9" s="1"/>
  <c r="P33" i="9"/>
  <c r="O88" i="9"/>
  <c r="P88" i="9" s="1"/>
  <c r="O110" i="9"/>
  <c r="P110" i="9" s="1"/>
  <c r="P89" i="9"/>
  <c r="O96" i="9"/>
  <c r="P96" i="9" s="1"/>
  <c r="O111" i="9"/>
  <c r="P111" i="9" s="1"/>
  <c r="O134" i="9"/>
  <c r="P134" i="9" s="1"/>
  <c r="O15" i="9"/>
  <c r="P15" i="9" s="1"/>
  <c r="O46" i="9"/>
  <c r="P46" i="9" s="1"/>
  <c r="P98" i="9"/>
  <c r="P100" i="9"/>
  <c r="O113" i="9"/>
  <c r="P113" i="9" s="1"/>
  <c r="O136" i="9"/>
  <c r="P136" i="9" s="1"/>
  <c r="P8" i="9"/>
  <c r="O16" i="9"/>
  <c r="O85" i="9"/>
  <c r="P85" i="9" s="1"/>
  <c r="O137" i="9"/>
  <c r="P137" i="9" s="1"/>
  <c r="C35" i="10"/>
  <c r="O86" i="9"/>
  <c r="P86" i="9" s="1"/>
  <c r="O114" i="9"/>
  <c r="P114" i="9" s="1"/>
  <c r="O79" i="9"/>
  <c r="P10" i="9"/>
  <c r="P35" i="9"/>
  <c r="P13" i="9"/>
  <c r="O44" i="14"/>
  <c r="Q44" i="14" s="1"/>
  <c r="O90" i="9"/>
  <c r="P90" i="9" s="1"/>
  <c r="P72" i="9"/>
  <c r="P36" i="9"/>
  <c r="P27" i="9"/>
  <c r="P17" i="9"/>
  <c r="C14" i="9"/>
  <c r="T156" i="9"/>
  <c r="Q95" i="10" l="1"/>
  <c r="AM95" i="10"/>
  <c r="AO95" i="10" s="1"/>
  <c r="AP95" i="10" s="1"/>
  <c r="N90" i="10"/>
  <c r="AM90" i="10"/>
  <c r="AO90" i="10" s="1"/>
  <c r="AP90" i="10" s="1"/>
  <c r="L97" i="10"/>
  <c r="L98" i="10" s="1"/>
  <c r="AM70" i="10"/>
  <c r="AO70" i="10" s="1"/>
  <c r="F86" i="10"/>
  <c r="F97" i="10"/>
  <c r="AM88" i="10"/>
  <c r="AQ88" i="10" s="1"/>
  <c r="T95" i="10"/>
  <c r="R97" i="10"/>
  <c r="R98" i="10" s="1"/>
  <c r="Q89" i="10"/>
  <c r="AM89" i="10"/>
  <c r="AO89" i="10" s="1"/>
  <c r="AP89" i="10" s="1"/>
  <c r="Q88" i="10"/>
  <c r="O97" i="10"/>
  <c r="O98" i="10" s="1"/>
  <c r="AC35" i="10"/>
  <c r="AA35" i="10"/>
  <c r="Z35" i="10"/>
  <c r="P54" i="9"/>
  <c r="O80" i="9"/>
  <c r="AG35" i="10"/>
  <c r="P16" i="9"/>
  <c r="O44" i="9"/>
  <c r="P44" i="9" s="1"/>
  <c r="AM33" i="10"/>
  <c r="AQ19" i="10"/>
  <c r="AQ89" i="10"/>
  <c r="AM16" i="10"/>
  <c r="AQ16" i="10" s="1"/>
  <c r="AQ96" i="10"/>
  <c r="AQ52" i="10"/>
  <c r="AM17" i="10"/>
  <c r="AQ95" i="10"/>
  <c r="AQ58" i="10"/>
  <c r="AM30" i="10"/>
  <c r="AQ54" i="10"/>
  <c r="AQ94" i="10"/>
  <c r="AQ9" i="10"/>
  <c r="AQ66" i="10"/>
  <c r="AQ93" i="10"/>
  <c r="AM29" i="10"/>
  <c r="AQ10" i="10"/>
  <c r="AM25" i="10"/>
  <c r="AQ61" i="10"/>
  <c r="AQ59" i="10"/>
  <c r="AM31" i="10"/>
  <c r="AM32" i="10"/>
  <c r="AQ12" i="10"/>
  <c r="AM21" i="10"/>
  <c r="AQ55" i="10"/>
  <c r="AQ64" i="10"/>
  <c r="AQ56" i="10"/>
  <c r="AQ63" i="10"/>
  <c r="AM6" i="10"/>
  <c r="AM20" i="10"/>
  <c r="AQ67" i="10"/>
  <c r="AQ62" i="10"/>
  <c r="AQ7" i="10"/>
  <c r="AM28" i="10"/>
  <c r="AM34" i="10"/>
  <c r="AQ57" i="10"/>
  <c r="AQ91" i="10"/>
  <c r="AM22" i="10"/>
  <c r="X35" i="10"/>
  <c r="H65" i="10"/>
  <c r="H64" i="10"/>
  <c r="AD35" i="10"/>
  <c r="AF28" i="10"/>
  <c r="AF35" i="10" s="1"/>
  <c r="AC18" i="10"/>
  <c r="AC23" i="10" s="1"/>
  <c r="H30" i="10"/>
  <c r="H95" i="10"/>
  <c r="H58" i="10"/>
  <c r="H54" i="10"/>
  <c r="H53" i="10"/>
  <c r="H32" i="10"/>
  <c r="K12" i="10"/>
  <c r="H21" i="10"/>
  <c r="H55" i="10"/>
  <c r="H20" i="10"/>
  <c r="H67" i="10"/>
  <c r="H91" i="10"/>
  <c r="H22" i="10"/>
  <c r="H89" i="10"/>
  <c r="H33" i="10"/>
  <c r="H88" i="10"/>
  <c r="H16" i="10"/>
  <c r="H52" i="10"/>
  <c r="H96" i="10"/>
  <c r="H59" i="10"/>
  <c r="K9" i="10"/>
  <c r="H66" i="10"/>
  <c r="H31" i="10"/>
  <c r="H90" i="10"/>
  <c r="H19" i="10"/>
  <c r="H18" i="10"/>
  <c r="H17" i="10"/>
  <c r="H93" i="10"/>
  <c r="H70" i="10"/>
  <c r="H25" i="10"/>
  <c r="H61" i="10"/>
  <c r="O35" i="10"/>
  <c r="H40" i="14"/>
  <c r="K92" i="10"/>
  <c r="K97" i="10" s="1"/>
  <c r="I68" i="14"/>
  <c r="H56" i="14"/>
  <c r="F23" i="10"/>
  <c r="L23" i="10"/>
  <c r="H56" i="10"/>
  <c r="L35" i="10"/>
  <c r="F35" i="10"/>
  <c r="T23" i="10"/>
  <c r="K6" i="10"/>
  <c r="H62" i="10"/>
  <c r="H29" i="10"/>
  <c r="H57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9" i="10"/>
  <c r="AA54" i="14"/>
  <c r="AC54" i="14" s="1"/>
  <c r="AD54" i="14" s="1"/>
  <c r="I23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5" i="10"/>
  <c r="K10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8" i="10"/>
  <c r="I35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K7" i="10"/>
  <c r="O23" i="10"/>
  <c r="T31" i="10"/>
  <c r="T35" i="10" s="1"/>
  <c r="O91" i="9"/>
  <c r="P91" i="9" s="1"/>
  <c r="N35" i="10"/>
  <c r="N23" i="10"/>
  <c r="L68" i="14"/>
  <c r="N68" i="14" s="1"/>
  <c r="L56" i="14"/>
  <c r="N56" i="14" s="1"/>
  <c r="L40" i="14"/>
  <c r="N40" i="14" s="1"/>
  <c r="H63" i="10"/>
  <c r="H94" i="10"/>
  <c r="H92" i="10"/>
  <c r="O14" i="9"/>
  <c r="AQ6" i="10" l="1"/>
  <c r="AM15" i="10"/>
  <c r="H97" i="10"/>
  <c r="R99" i="10"/>
  <c r="R100" i="10" s="1"/>
  <c r="AQ21" i="10"/>
  <c r="AO21" i="10"/>
  <c r="AP21" i="10" s="1"/>
  <c r="AQ20" i="10"/>
  <c r="AO20" i="10"/>
  <c r="AQ29" i="10"/>
  <c r="AO29" i="10"/>
  <c r="AP29" i="10" s="1"/>
  <c r="AQ90" i="10"/>
  <c r="AO88" i="10"/>
  <c r="AM97" i="10"/>
  <c r="AQ33" i="10"/>
  <c r="AO33" i="10"/>
  <c r="AP33" i="10" s="1"/>
  <c r="F98" i="10"/>
  <c r="AQ32" i="10"/>
  <c r="AO32" i="10"/>
  <c r="AP32" i="10" s="1"/>
  <c r="AQ31" i="10"/>
  <c r="AO31" i="10"/>
  <c r="AP31" i="10" s="1"/>
  <c r="AQ30" i="10"/>
  <c r="AO30" i="10"/>
  <c r="AP30" i="10" s="1"/>
  <c r="AR35" i="10"/>
  <c r="AQ17" i="10"/>
  <c r="AO17" i="10"/>
  <c r="AP17" i="10" s="1"/>
  <c r="AQ25" i="10"/>
  <c r="AO25" i="10"/>
  <c r="AP25" i="10" s="1"/>
  <c r="AQ70" i="10"/>
  <c r="AQ22" i="10"/>
  <c r="AO22" i="10"/>
  <c r="AP22" i="10" s="1"/>
  <c r="AQ34" i="10"/>
  <c r="AO34" i="10"/>
  <c r="AP34" i="10" s="1"/>
  <c r="AP9" i="10"/>
  <c r="AP70" i="10"/>
  <c r="AQ18" i="10"/>
  <c r="AQ28" i="10"/>
  <c r="AM35" i="10"/>
  <c r="AQ35" i="10" s="1"/>
  <c r="AP7" i="10"/>
  <c r="AP57" i="10"/>
  <c r="AP62" i="10"/>
  <c r="AP67" i="10"/>
  <c r="AO6" i="10"/>
  <c r="AP54" i="10"/>
  <c r="AP56" i="10"/>
  <c r="AP61" i="10"/>
  <c r="AP64" i="10"/>
  <c r="AP12" i="10"/>
  <c r="AP19" i="10"/>
  <c r="AP59" i="10"/>
  <c r="H23" i="10"/>
  <c r="AM23" i="10"/>
  <c r="AQ23" i="10" s="1"/>
  <c r="H35" i="10"/>
  <c r="K68" i="14"/>
  <c r="AF33" i="14"/>
  <c r="AG34" i="14"/>
  <c r="H34" i="14"/>
  <c r="AE34" i="14" s="1"/>
  <c r="AP18" i="10"/>
  <c r="H20" i="14"/>
  <c r="AA20" i="14"/>
  <c r="AC13" i="14"/>
  <c r="AC6" i="14"/>
  <c r="AA12" i="14"/>
  <c r="K12" i="14"/>
  <c r="AC25" i="14"/>
  <c r="AA34" i="14"/>
  <c r="O68" i="14"/>
  <c r="Q68" i="14" s="1"/>
  <c r="G87" i="9"/>
  <c r="O40" i="14" s="1"/>
  <c r="O56" i="14"/>
  <c r="Q56" i="14" s="1"/>
  <c r="K53" i="10"/>
  <c r="K65" i="10"/>
  <c r="AP6" i="10" l="1"/>
  <c r="AO15" i="10"/>
  <c r="AP88" i="10"/>
  <c r="AP97" i="10" s="1"/>
  <c r="AQ15" i="10"/>
  <c r="AP10" i="10"/>
  <c r="Q40" i="14"/>
  <c r="AC12" i="14"/>
  <c r="AD6" i="14"/>
  <c r="AC34" i="14"/>
  <c r="AD34" i="14" s="1"/>
  <c r="AD25" i="14"/>
  <c r="AC20" i="14"/>
  <c r="AD20" i="14" s="1"/>
  <c r="AD13" i="14"/>
  <c r="N92" i="10"/>
  <c r="N97" i="10" s="1"/>
  <c r="N65" i="10"/>
  <c r="R68" i="14"/>
  <c r="Q65" i="10"/>
  <c r="N53" i="10"/>
  <c r="AP63" i="10"/>
  <c r="AP15" i="10" l="1"/>
  <c r="Q92" i="10"/>
  <c r="Q97" i="10" s="1"/>
  <c r="T53" i="10"/>
  <c r="R40" i="14"/>
  <c r="T68" i="14"/>
  <c r="AA68" i="14"/>
  <c r="AC68" i="14" s="1"/>
  <c r="AD68" i="14" s="1"/>
  <c r="T65" i="10"/>
  <c r="R56" i="14"/>
  <c r="AD12" i="14"/>
  <c r="Q53" i="10"/>
  <c r="T157" i="9"/>
  <c r="W92" i="10" l="1"/>
  <c r="W97" i="10" s="1"/>
  <c r="W53" i="10"/>
  <c r="T56" i="14"/>
  <c r="AA56" i="14"/>
  <c r="AC56" i="14" s="1"/>
  <c r="T40" i="14"/>
  <c r="AA40" i="14"/>
  <c r="T92" i="10"/>
  <c r="T97" i="10" s="1"/>
  <c r="AC65" i="10" l="1"/>
  <c r="Z65" i="10"/>
  <c r="Z53" i="10"/>
  <c r="AC92" i="10"/>
  <c r="AC97" i="10" s="1"/>
  <c r="Z92" i="10"/>
  <c r="Z97" i="10" s="1"/>
  <c r="W65" i="10"/>
  <c r="AC40" i="14"/>
  <c r="AC53" i="10" l="1"/>
  <c r="AF53" i="10"/>
  <c r="AI92" i="10" l="1"/>
  <c r="AI97" i="10" s="1"/>
  <c r="AI53" i="10" l="1"/>
  <c r="O105" i="9"/>
  <c r="AI65" i="10"/>
  <c r="AF65" i="10"/>
  <c r="AF92" i="10"/>
  <c r="AF97" i="10" s="1"/>
  <c r="AL92" i="10"/>
  <c r="AL97" i="10" s="1"/>
  <c r="O115" i="9" l="1"/>
  <c r="P115" i="9" s="1"/>
  <c r="AQ92" i="10"/>
  <c r="AL53" i="10"/>
  <c r="P105" i="9"/>
  <c r="AL65" i="10"/>
  <c r="O87" i="9"/>
  <c r="P87" i="9" s="1"/>
  <c r="AQ53" i="10" l="1"/>
  <c r="U50" i="8"/>
  <c r="AO97" i="10" l="1"/>
  <c r="AQ65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K24" i="8" l="1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3" i="10" l="1"/>
  <c r="J27" i="10" s="1"/>
  <c r="K16" i="10"/>
  <c r="K23" i="10" s="1"/>
  <c r="J35" i="10"/>
  <c r="J99" i="10" s="1"/>
  <c r="J100" i="10" s="1"/>
  <c r="K28" i="10"/>
  <c r="K35" i="10" s="1"/>
  <c r="Q28" i="10" l="1"/>
  <c r="Q35" i="10" s="1"/>
  <c r="P35" i="10"/>
  <c r="P26" i="10"/>
  <c r="Q16" i="10" l="1"/>
  <c r="Q23" i="10" s="1"/>
  <c r="P23" i="10"/>
  <c r="P27" i="10" s="1"/>
  <c r="P99" i="10" s="1"/>
  <c r="P100" i="10" s="1"/>
  <c r="AI16" i="10" l="1"/>
  <c r="AI23" i="10" s="1"/>
  <c r="AH23" i="10"/>
  <c r="AH27" i="10" s="1"/>
  <c r="AH99" i="10" s="1"/>
  <c r="AH100" i="10" s="1"/>
  <c r="AR23" i="10" l="1"/>
  <c r="AK23" i="10" l="1"/>
  <c r="AL16" i="10"/>
  <c r="AL23" i="10" s="1"/>
  <c r="AN16" i="10"/>
  <c r="AO16" i="10" s="1"/>
  <c r="AK35" i="10" l="1"/>
  <c r="AL28" i="10"/>
  <c r="AL35" i="10" s="1"/>
  <c r="AN28" i="10"/>
  <c r="AO28" i="10" s="1"/>
  <c r="AK26" i="10"/>
  <c r="AK27" i="10" s="1"/>
  <c r="AK99" i="10" s="1"/>
  <c r="AK100" i="10" s="1"/>
  <c r="AN24" i="10"/>
  <c r="AN23" i="10"/>
  <c r="AN35" i="10" l="1"/>
  <c r="AN26" i="10"/>
  <c r="AN27" i="10" s="1"/>
  <c r="AP16" i="10"/>
  <c r="AO23" i="10"/>
  <c r="AN99" i="10" l="1"/>
  <c r="AN100" i="10" s="1"/>
  <c r="AO35" i="10"/>
  <c r="AP35" i="10" s="1"/>
  <c r="AP28" i="10"/>
  <c r="AP23" i="10"/>
  <c r="B14" i="9" l="1"/>
  <c r="P14" i="9" s="1"/>
  <c r="B45" i="9"/>
  <c r="B26" i="10" s="1"/>
  <c r="B27" i="10" s="1"/>
  <c r="B83" i="9"/>
  <c r="C83" i="9" l="1"/>
  <c r="B49" i="10"/>
  <c r="D83" i="9"/>
  <c r="C45" i="9"/>
  <c r="B47" i="9"/>
  <c r="C26" i="10" l="1"/>
  <c r="C27" i="10" s="1"/>
  <c r="E24" i="10"/>
  <c r="E26" i="10" s="1"/>
  <c r="E27" i="10" s="1"/>
  <c r="C49" i="10"/>
  <c r="E36" i="10"/>
  <c r="E49" i="10" s="1"/>
  <c r="AM36" i="10"/>
  <c r="E83" i="9"/>
  <c r="F36" i="14"/>
  <c r="D45" i="9"/>
  <c r="C47" i="9"/>
  <c r="C48" i="9" s="1"/>
  <c r="P49" i="9"/>
  <c r="B48" i="9"/>
  <c r="AO36" i="10" l="1"/>
  <c r="AM49" i="10"/>
  <c r="H36" i="14"/>
  <c r="F83" i="9"/>
  <c r="I36" i="14"/>
  <c r="K36" i="14" s="1"/>
  <c r="E45" i="9"/>
  <c r="D47" i="9"/>
  <c r="D48" i="9" s="1"/>
  <c r="F21" i="14"/>
  <c r="AO49" i="10" l="1"/>
  <c r="AP36" i="10"/>
  <c r="AP49" i="10" s="1"/>
  <c r="G83" i="9"/>
  <c r="L36" i="14"/>
  <c r="N36" i="14" s="1"/>
  <c r="H21" i="14"/>
  <c r="H23" i="14" s="1"/>
  <c r="H24" i="14" s="1"/>
  <c r="F23" i="14"/>
  <c r="F24" i="14" s="1"/>
  <c r="F26" i="10"/>
  <c r="F27" i="10" s="1"/>
  <c r="F99" i="10" s="1"/>
  <c r="F100" i="10" s="1"/>
  <c r="H24" i="10"/>
  <c r="H26" i="10" s="1"/>
  <c r="H27" i="10" s="1"/>
  <c r="F45" i="9"/>
  <c r="I21" i="14"/>
  <c r="E47" i="9"/>
  <c r="E48" i="9" s="1"/>
  <c r="H83" i="9" l="1"/>
  <c r="O36" i="14"/>
  <c r="Q36" i="14" s="1"/>
  <c r="K24" i="10"/>
  <c r="K26" i="10" s="1"/>
  <c r="K27" i="10" s="1"/>
  <c r="I26" i="10"/>
  <c r="I27" i="10" s="1"/>
  <c r="I99" i="10" s="1"/>
  <c r="I100" i="10" s="1"/>
  <c r="K21" i="14"/>
  <c r="K23" i="14" s="1"/>
  <c r="K24" i="14" s="1"/>
  <c r="I23" i="14"/>
  <c r="I24" i="14" s="1"/>
  <c r="G45" i="9"/>
  <c r="F47" i="9"/>
  <c r="F48" i="9" s="1"/>
  <c r="L21" i="14"/>
  <c r="AE24" i="14"/>
  <c r="I83" i="9" l="1"/>
  <c r="R36" i="14"/>
  <c r="L26" i="10"/>
  <c r="L27" i="10" s="1"/>
  <c r="L99" i="10" s="1"/>
  <c r="L100" i="10" s="1"/>
  <c r="N24" i="10"/>
  <c r="N26" i="10" s="1"/>
  <c r="N27" i="10" s="1"/>
  <c r="H45" i="9"/>
  <c r="O21" i="14"/>
  <c r="G47" i="9"/>
  <c r="G48" i="9" s="1"/>
  <c r="L23" i="14"/>
  <c r="L24" i="14" s="1"/>
  <c r="N21" i="14"/>
  <c r="N23" i="14" s="1"/>
  <c r="N24" i="14" s="1"/>
  <c r="J83" i="9" l="1"/>
  <c r="T36" i="14"/>
  <c r="AA36" i="14"/>
  <c r="AC36" i="14" s="1"/>
  <c r="AD36" i="14" s="1"/>
  <c r="Q21" i="14"/>
  <c r="Q23" i="14" s="1"/>
  <c r="Q24" i="14" s="1"/>
  <c r="O23" i="14"/>
  <c r="O24" i="14" s="1"/>
  <c r="O26" i="10"/>
  <c r="O27" i="10" s="1"/>
  <c r="O99" i="10" s="1"/>
  <c r="O100" i="10" s="1"/>
  <c r="Q24" i="10"/>
  <c r="Q26" i="10" s="1"/>
  <c r="Q27" i="10" s="1"/>
  <c r="I45" i="9"/>
  <c r="T24" i="10"/>
  <c r="T26" i="10" s="1"/>
  <c r="T27" i="10" s="1"/>
  <c r="R21" i="14"/>
  <c r="T21" i="14" s="1"/>
  <c r="T23" i="14" s="1"/>
  <c r="T24" i="14" s="1"/>
  <c r="H47" i="9"/>
  <c r="B81" i="9"/>
  <c r="C81" i="9" l="1"/>
  <c r="K83" i="9"/>
  <c r="D81" i="9"/>
  <c r="C143" i="9"/>
  <c r="C144" i="9" s="1"/>
  <c r="J45" i="9"/>
  <c r="W24" i="10"/>
  <c r="W26" i="10" s="1"/>
  <c r="W27" i="10" s="1"/>
  <c r="I47" i="9"/>
  <c r="I48" i="9" s="1"/>
  <c r="H48" i="9"/>
  <c r="R23" i="14"/>
  <c r="AA21" i="14"/>
  <c r="AF24" i="14"/>
  <c r="B143" i="9"/>
  <c r="AM51" i="10" l="1"/>
  <c r="C86" i="10"/>
  <c r="C98" i="10" s="1"/>
  <c r="C99" i="10" s="1"/>
  <c r="C100" i="10" s="1"/>
  <c r="E51" i="10"/>
  <c r="E86" i="10" s="1"/>
  <c r="E98" i="10" s="1"/>
  <c r="E99" i="10" s="1"/>
  <c r="E100" i="10" s="1"/>
  <c r="B86" i="10"/>
  <c r="B98" i="10" s="1"/>
  <c r="B99" i="10" s="1"/>
  <c r="C145" i="9"/>
  <c r="L83" i="9"/>
  <c r="E81" i="9"/>
  <c r="F35" i="14"/>
  <c r="D143" i="9"/>
  <c r="D144" i="9" s="1"/>
  <c r="AA23" i="14"/>
  <c r="AA24" i="14" s="1"/>
  <c r="AC21" i="14"/>
  <c r="R24" i="14"/>
  <c r="K45" i="9"/>
  <c r="J47" i="9"/>
  <c r="J48" i="9" s="1"/>
  <c r="B149" i="9"/>
  <c r="P149" i="9" s="1"/>
  <c r="AO51" i="10" l="1"/>
  <c r="AO86" i="10" s="1"/>
  <c r="AM86" i="10"/>
  <c r="AM98" i="10" s="1"/>
  <c r="B100" i="10"/>
  <c r="H51" i="10"/>
  <c r="H86" i="10" s="1"/>
  <c r="H98" i="10" s="1"/>
  <c r="H99" i="10" s="1"/>
  <c r="H100" i="10" s="1"/>
  <c r="H35" i="14"/>
  <c r="H87" i="14" s="1"/>
  <c r="F87" i="14"/>
  <c r="F88" i="14" s="1"/>
  <c r="F89" i="14" s="1"/>
  <c r="M83" i="9"/>
  <c r="F81" i="9"/>
  <c r="I35" i="14"/>
  <c r="E143" i="9"/>
  <c r="E144" i="9" s="1"/>
  <c r="D145" i="9"/>
  <c r="C105" i="10"/>
  <c r="L45" i="9"/>
  <c r="K47" i="9"/>
  <c r="AC23" i="14"/>
  <c r="AD21" i="14"/>
  <c r="AO98" i="10" l="1"/>
  <c r="AP86" i="10"/>
  <c r="F105" i="10"/>
  <c r="AE87" i="14"/>
  <c r="H88" i="14"/>
  <c r="K51" i="10"/>
  <c r="K86" i="10" s="1"/>
  <c r="K98" i="10" s="1"/>
  <c r="K99" i="10" s="1"/>
  <c r="K100" i="10" s="1"/>
  <c r="N83" i="9"/>
  <c r="E145" i="9"/>
  <c r="K35" i="14"/>
  <c r="K87" i="14" s="1"/>
  <c r="K88" i="14" s="1"/>
  <c r="K89" i="14" s="1"/>
  <c r="I87" i="14"/>
  <c r="I88" i="14" s="1"/>
  <c r="G81" i="9"/>
  <c r="L35" i="14"/>
  <c r="U27" i="10"/>
  <c r="U99" i="10" s="1"/>
  <c r="U100" i="10" s="1"/>
  <c r="K48" i="9"/>
  <c r="AC24" i="14"/>
  <c r="AD23" i="14"/>
  <c r="AC24" i="10"/>
  <c r="AC26" i="10" s="1"/>
  <c r="AC27" i="10" s="1"/>
  <c r="AA26" i="10"/>
  <c r="AA27" i="10" s="1"/>
  <c r="AA99" i="10" s="1"/>
  <c r="AA100" i="10" s="1"/>
  <c r="M45" i="9"/>
  <c r="L47" i="9"/>
  <c r="L48" i="9" s="1"/>
  <c r="I105" i="10" l="1"/>
  <c r="N51" i="10"/>
  <c r="N86" i="10" s="1"/>
  <c r="N98" i="10" s="1"/>
  <c r="N99" i="10" s="1"/>
  <c r="N100" i="10" s="1"/>
  <c r="H81" i="9"/>
  <c r="O35" i="14"/>
  <c r="G143" i="9"/>
  <c r="G144" i="9" s="1"/>
  <c r="AE88" i="14"/>
  <c r="H89" i="14"/>
  <c r="AE89" i="14" s="1"/>
  <c r="O83" i="9"/>
  <c r="P83" i="9" s="1"/>
  <c r="N35" i="14"/>
  <c r="I89" i="14"/>
  <c r="Z24" i="10"/>
  <c r="Z26" i="10" s="1"/>
  <c r="Z27" i="10" s="1"/>
  <c r="AD26" i="10"/>
  <c r="AD27" i="10" s="1"/>
  <c r="AD99" i="10" s="1"/>
  <c r="AD100" i="10" s="1"/>
  <c r="AF24" i="10"/>
  <c r="AF26" i="10" s="1"/>
  <c r="AF27" i="10" s="1"/>
  <c r="AD24" i="14"/>
  <c r="N45" i="9"/>
  <c r="M47" i="9"/>
  <c r="M48" i="9" s="1"/>
  <c r="Q35" i="14" l="1"/>
  <c r="Q87" i="14" s="1"/>
  <c r="O87" i="14"/>
  <c r="O88" i="14" s="1"/>
  <c r="I81" i="9"/>
  <c r="R35" i="14"/>
  <c r="H143" i="9"/>
  <c r="H144" i="9" s="1"/>
  <c r="G145" i="9"/>
  <c r="Q51" i="10"/>
  <c r="Q86" i="10" s="1"/>
  <c r="Q98" i="10" s="1"/>
  <c r="Q99" i="10" s="1"/>
  <c r="Q100" i="10" s="1"/>
  <c r="AG26" i="10"/>
  <c r="AG27" i="10" s="1"/>
  <c r="AG99" i="10" s="1"/>
  <c r="AG100" i="10" s="1"/>
  <c r="AI24" i="10"/>
  <c r="AI26" i="10" s="1"/>
  <c r="N47" i="9"/>
  <c r="O45" i="9"/>
  <c r="O105" i="10" l="1"/>
  <c r="R90" i="14"/>
  <c r="H145" i="9"/>
  <c r="T35" i="14"/>
  <c r="T87" i="14" s="1"/>
  <c r="T88" i="14" s="1"/>
  <c r="T89" i="14" s="1"/>
  <c r="R87" i="14"/>
  <c r="R88" i="14" s="1"/>
  <c r="J81" i="9"/>
  <c r="I143" i="9"/>
  <c r="I144" i="9" s="1"/>
  <c r="AA35" i="14"/>
  <c r="T51" i="10"/>
  <c r="T86" i="10" s="1"/>
  <c r="T98" i="10" s="1"/>
  <c r="T99" i="10" s="1"/>
  <c r="T100" i="10" s="1"/>
  <c r="P91" i="14"/>
  <c r="O89" i="14"/>
  <c r="AF88" i="14"/>
  <c r="Q88" i="14"/>
  <c r="Q89" i="14" s="1"/>
  <c r="X27" i="10"/>
  <c r="X99" i="10" s="1"/>
  <c r="X100" i="10" s="1"/>
  <c r="N48" i="9"/>
  <c r="O47" i="9"/>
  <c r="P45" i="9"/>
  <c r="AR26" i="10"/>
  <c r="AI27" i="10"/>
  <c r="AJ26" i="10"/>
  <c r="AJ27" i="10" s="1"/>
  <c r="AJ99" i="10" s="1"/>
  <c r="AJ100" i="10" s="1"/>
  <c r="AL24" i="10"/>
  <c r="AL26" i="10" s="1"/>
  <c r="AL27" i="10" s="1"/>
  <c r="AM24" i="10"/>
  <c r="AC35" i="14" l="1"/>
  <c r="W51" i="10"/>
  <c r="W86" i="10" s="1"/>
  <c r="W98" i="10" s="1"/>
  <c r="W99" i="10" s="1"/>
  <c r="W100" i="10" s="1"/>
  <c r="I145" i="9"/>
  <c r="R89" i="14"/>
  <c r="R105" i="10"/>
  <c r="K81" i="9"/>
  <c r="J143" i="9"/>
  <c r="J144" i="9" s="1"/>
  <c r="O48" i="9"/>
  <c r="P47" i="9"/>
  <c r="AR27" i="10"/>
  <c r="AQ24" i="10"/>
  <c r="AM26" i="10"/>
  <c r="AO24" i="10"/>
  <c r="U105" i="10" l="1"/>
  <c r="J145" i="9"/>
  <c r="Z51" i="10"/>
  <c r="Z86" i="10" s="1"/>
  <c r="Z98" i="10" s="1"/>
  <c r="Z99" i="10" s="1"/>
  <c r="Z100" i="10" s="1"/>
  <c r="AD35" i="14"/>
  <c r="L81" i="9"/>
  <c r="K143" i="9"/>
  <c r="K144" i="9" s="1"/>
  <c r="AQ26" i="10"/>
  <c r="AM27" i="10"/>
  <c r="AM99" i="10" s="1"/>
  <c r="AM100" i="10" s="1"/>
  <c r="AO26" i="10"/>
  <c r="AP24" i="10"/>
  <c r="P48" i="9"/>
  <c r="AC51" i="10" l="1"/>
  <c r="AC86" i="10" s="1"/>
  <c r="AC98" i="10" s="1"/>
  <c r="AC99" i="10" s="1"/>
  <c r="AC100" i="10" s="1"/>
  <c r="X105" i="10"/>
  <c r="K145" i="9"/>
  <c r="M81" i="9"/>
  <c r="L143" i="9"/>
  <c r="L144" i="9" s="1"/>
  <c r="AQ27" i="10"/>
  <c r="AP26" i="10"/>
  <c r="AO27" i="10"/>
  <c r="AO99" i="10" s="1"/>
  <c r="AO100" i="10" s="1"/>
  <c r="AA105" i="10" l="1"/>
  <c r="L145" i="9"/>
  <c r="N81" i="9"/>
  <c r="M143" i="9"/>
  <c r="M144" i="9" s="1"/>
  <c r="AF51" i="10"/>
  <c r="AF86" i="10" s="1"/>
  <c r="AF98" i="10" s="1"/>
  <c r="AF99" i="10" s="1"/>
  <c r="AF100" i="10" s="1"/>
  <c r="AP27" i="10"/>
  <c r="AI51" i="10" l="1"/>
  <c r="AI86" i="10" s="1"/>
  <c r="AI98" i="10" s="1"/>
  <c r="AI99" i="10" s="1"/>
  <c r="AI100" i="10" s="1"/>
  <c r="AD105" i="10"/>
  <c r="N143" i="9"/>
  <c r="N144" i="9" s="1"/>
  <c r="O81" i="9"/>
  <c r="M145" i="9"/>
  <c r="AU99" i="10"/>
  <c r="AL51" i="10" l="1"/>
  <c r="AL86" i="10" s="1"/>
  <c r="AL98" i="10" s="1"/>
  <c r="AL99" i="10" s="1"/>
  <c r="AL100" i="10" s="1"/>
  <c r="N145" i="9"/>
  <c r="AQ51" i="10"/>
  <c r="AG105" i="10"/>
  <c r="P81" i="9"/>
  <c r="AR98" i="10"/>
  <c r="AP51" i="10" l="1"/>
  <c r="AR99" i="10"/>
  <c r="AR100" i="10" l="1"/>
  <c r="B144" i="9" l="1"/>
  <c r="P58" i="9"/>
  <c r="B150" i="9" l="1"/>
  <c r="P150" i="9" s="1"/>
  <c r="B145" i="9"/>
  <c r="O93" i="9"/>
  <c r="O143" i="9" s="1"/>
  <c r="L46" i="14"/>
  <c r="L87" i="14" s="1"/>
  <c r="L88" i="14" s="1"/>
  <c r="F143" i="9"/>
  <c r="F144" i="9" s="1"/>
  <c r="F145" i="9" l="1"/>
  <c r="AB92" i="14"/>
  <c r="R92" i="14"/>
  <c r="L89" i="14"/>
  <c r="P143" i="9"/>
  <c r="O144" i="9"/>
  <c r="P93" i="9"/>
  <c r="N46" i="14"/>
  <c r="N87" i="14" s="1"/>
  <c r="N88" i="14" s="1"/>
  <c r="N89" i="14" s="1"/>
  <c r="AB93" i="14" s="1"/>
  <c r="AA46" i="14"/>
  <c r="L105" i="10" l="1"/>
  <c r="P144" i="9"/>
  <c r="O145" i="9"/>
  <c r="P145" i="9" s="1"/>
  <c r="AC46" i="14"/>
  <c r="AA87" i="14"/>
  <c r="AA88" i="14" s="1"/>
  <c r="AA89" i="14" s="1"/>
  <c r="AQ98" i="10"/>
  <c r="AP98" i="10" l="1"/>
  <c r="AS99" i="10"/>
  <c r="AQ99" i="10"/>
  <c r="AC87" i="14"/>
  <c r="AD46" i="14"/>
  <c r="AD87" i="14" l="1"/>
  <c r="AC88" i="14"/>
  <c r="AP99" i="10"/>
  <c r="AP100" i="10"/>
  <c r="AQ100" i="10"/>
  <c r="AC89" i="14" l="1"/>
  <c r="AD88" i="14"/>
  <c r="AD89" i="14" l="1"/>
  <c r="AI101" i="14"/>
</calcChain>
</file>

<file path=xl/sharedStrings.xml><?xml version="1.0" encoding="utf-8"?>
<sst xmlns="http://schemas.openxmlformats.org/spreadsheetml/2006/main" count="509" uniqueCount="195">
  <si>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</si>
  <si>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</si>
  <si>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</si>
  <si>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</si>
  <si>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</si>
  <si>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</si>
  <si>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</si>
  <si>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</si>
  <si>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</si>
  <si>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</si>
  <si>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</si>
  <si>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</si>
  <si>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</si>
  <si>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</si>
  <si>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</si>
  <si>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</si>
  <si>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</si>
  <si>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</si>
  <si>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</si>
  <si>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</si>
  <si>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</si>
  <si>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</si>
  <si>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</si>
  <si>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</si>
  <si>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</si>
  <si>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</si>
  <si>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</si>
  <si>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</si>
  <si>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</si>
  <si>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</si>
  <si>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</si>
  <si>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</si>
  <si>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</si>
  <si>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</si>
  <si>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</si>
  <si>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</si>
  <si>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</si>
  <si>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</si>
  <si>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</si>
  <si>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</si>
  <si>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</si>
  <si>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</si>
  <si>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</si>
  <si>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</si>
  <si>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</si>
  <si>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</si>
  <si>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</si>
  <si>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</si>
  <si>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</si>
  <si>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</si>
  <si>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</si>
  <si>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</si>
  <si>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</si>
  <si>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</si>
  <si>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</si>
  <si>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</si>
  <si>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</si>
  <si>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</si>
  <si>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</si>
  <si>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</si>
  <si>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</si>
  <si>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</si>
  <si>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</si>
  <si>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</si>
  <si>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</si>
  <si>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</si>
  <si>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</si>
  <si>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</si>
  <si>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</si>
  <si>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</si>
  <si>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</si>
  <si>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</si>
  <si>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</si>
  <si>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</si>
  <si>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</si>
  <si>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</si>
  <si>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</si>
  <si>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</si>
  <si>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</si>
  <si>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</si>
  <si>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</si>
  <si>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</si>
  <si>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</si>
  <si>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</si>
  <si>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</si>
  <si>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</si>
  <si>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</si>
  <si>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</si>
  <si>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</si>
  <si>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</si>
  <si>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</si>
  <si>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</si>
  <si>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</si>
  <si>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</si>
  <si>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</si>
  <si>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</si>
  <si>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</si>
  <si>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</si>
  <si>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</si>
  <si>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</si>
  <si>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</si>
  <si>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</si>
  <si>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</si>
  <si>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</si>
  <si>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</si>
  <si>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</si>
  <si>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</si>
  <si>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</si>
  <si>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</si>
  <si>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</si>
  <si>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</si>
  <si>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</si>
  <si>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</si>
  <si>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</si>
  <si>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</si>
  <si>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</si>
  <si>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</si>
  <si>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</si>
  <si>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</si>
  <si>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</si>
  <si>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</si>
  <si>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</si>
  <si>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</si>
  <si>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</si>
  <si>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</si>
  <si>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</si>
  <si>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</si>
  <si>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</si>
  <si>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</si>
  <si>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</si>
  <si>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</si>
  <si>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</si>
  <si>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</si>
  <si>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</si>
  <si>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</si>
  <si>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</si>
  <si>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</si>
  <si>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</si>
  <si>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</si>
  <si>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</si>
  <si>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</si>
  <si>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</si>
  <si>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</si>
  <si>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Contrato laboratorio (AAA)</t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</si>
  <si>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</si>
  <si>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</si>
  <si>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</si>
  <si>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</si>
  <si>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</si>
  <si>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</si>
  <si>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</si>
  <si>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</si>
  <si>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</si>
  <si>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</si>
  <si>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</si>
  <si>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</si>
  <si>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</si>
  <si>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</si>
  <si>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</si>
  <si>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</si>
  <si>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</si>
  <si>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</si>
  <si>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</si>
  <si>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</si>
  <si>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</si>
  <si>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</si>
  <si>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</si>
  <si>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</si>
  <si>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</si>
  <si>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</si>
  <si>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</si>
  <si>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</si>
  <si>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</si>
  <si>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</si>
  <si>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</si>
  <si>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</si>
  <si>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</si>
  <si>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</si>
  <si>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</si>
  <si>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</si>
  <si>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</si>
  <si>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</si>
  <si>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</si>
  <si>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</si>
  <si>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</si>
  <si>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</si>
  <si>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</si>
  <si>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</si>
  <si>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</si>
  <si>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</si>
  <si>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</si>
  <si>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</si>
  <si>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</si>
  <si>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Subsidios</t>
  </si>
  <si>
    <t>PRESUPUESTO DE FUNCIONAMIENTO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</si>
</sst>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164" fontId="6" fillId="9" borderId="2" xfId="1" applyNumberFormat="1" applyFont="1" applyFill="1" applyBorder="1"/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/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vertical="center"/>
    </xf>
    <xf numFmtId="164" fontId="6" fillId="2" borderId="2" xfId="1" applyNumberFormat="1" applyFont="1" applyFill="1" applyBorder="1"/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43" fontId="8" fillId="0" borderId="0" xfId="3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  <xf numFmtId="0" fontId="0" fillId="9" borderId="6" xfId="0" applyFill="1" applyBorder="1" applyAlignment="1">
      <alignment horizontal="justify" wrapText="1"/>
    </xf>
    <xf numFmtId="0" fontId="0" fillId="0" borderId="6" xfId="0" applyFill="1" applyBorder="1"/>
    <xf numFmtId="43" fontId="2" fillId="0" borderId="0" xfId="0" applyNumberFormat="1" applyFont="1" applyFill="1"/>
    <xf numFmtId="43" fontId="6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10" fontId="4" fillId="0" borderId="0" xfId="1" applyNumberFormat="1" applyFont="1"/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9" Type="http://schemas.microsoft.com/office/2017/10/relationships/person" Target="persons/person2.xml"/><Relationship Id="rId21" Type="http://schemas.openxmlformats.org/officeDocument/2006/relationships/customXml" Target="../customXml/item3.xml"/><Relationship Id="rId34" Type="http://schemas.microsoft.com/office/2017/10/relationships/person" Target="persons/person4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61" Type="http://schemas.microsoft.com/office/2017/10/relationships/person" Target="persons/person28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Relationship Id="rId22" Type="http://schemas.microsoft.com/office/2017/10/relationships/person" Target="persons/person4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microsoft.com/office/2017/10/relationships/person" Target="persons/person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99">
          <cell r="X199">
            <v>247105467</v>
          </cell>
        </row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2">
          <cell r="Q202">
            <v>512124</v>
          </cell>
        </row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5">
          <cell r="K5">
            <v>23497414.696837816</v>
          </cell>
          <cell r="L5">
            <v>23497414.696837816</v>
          </cell>
          <cell r="M5">
            <v>23497414.696837816</v>
          </cell>
          <cell r="N5">
            <v>23497414.696837816</v>
          </cell>
          <cell r="O5">
            <v>23497414.696837816</v>
          </cell>
          <cell r="P5">
            <v>23497414.696837816</v>
          </cell>
          <cell r="Q5">
            <v>23497414.696837816</v>
          </cell>
          <cell r="R5">
            <v>24359387.483510818</v>
          </cell>
          <cell r="S5">
            <v>24359387.483510818</v>
          </cell>
          <cell r="T5">
            <v>24359387.483510818</v>
          </cell>
          <cell r="U5">
            <v>24359387.483510818</v>
          </cell>
          <cell r="V5">
            <v>24359387.483510818</v>
          </cell>
        </row>
        <row r="6">
          <cell r="K6">
            <v>69032447.25</v>
          </cell>
          <cell r="L6">
            <v>69032447.25</v>
          </cell>
          <cell r="M6">
            <v>69032447.25</v>
          </cell>
          <cell r="N6">
            <v>69032447.25</v>
          </cell>
          <cell r="O6">
            <v>69032447.25</v>
          </cell>
          <cell r="P6">
            <v>69032447.25</v>
          </cell>
          <cell r="Q6">
            <v>69032447.25</v>
          </cell>
          <cell r="R6">
            <v>71564814.81871587</v>
          </cell>
          <cell r="S6">
            <v>71564814.81871587</v>
          </cell>
          <cell r="T6">
            <v>71564814.81871587</v>
          </cell>
          <cell r="U6">
            <v>71564814.81871587</v>
          </cell>
          <cell r="V6">
            <v>71564814.81871587</v>
          </cell>
        </row>
        <row r="7">
          <cell r="K7">
            <v>1500000</v>
          </cell>
          <cell r="L7">
            <v>1500000</v>
          </cell>
          <cell r="M7">
            <v>1500000</v>
          </cell>
          <cell r="N7">
            <v>1500000</v>
          </cell>
          <cell r="O7">
            <v>1500000</v>
          </cell>
          <cell r="P7">
            <v>1500000</v>
          </cell>
          <cell r="Q7">
            <v>1500000</v>
          </cell>
          <cell r="R7">
            <v>1500000</v>
          </cell>
          <cell r="S7">
            <v>1500000</v>
          </cell>
          <cell r="T7">
            <v>1500000</v>
          </cell>
          <cell r="U7">
            <v>1500000</v>
          </cell>
          <cell r="V7">
            <v>1500000</v>
          </cell>
        </row>
        <row r="8">
          <cell r="K8">
            <v>66000</v>
          </cell>
          <cell r="L8">
            <v>66000</v>
          </cell>
          <cell r="M8">
            <v>66000</v>
          </cell>
          <cell r="N8">
            <v>66000</v>
          </cell>
          <cell r="O8">
            <v>66000</v>
          </cell>
          <cell r="P8">
            <v>66000</v>
          </cell>
          <cell r="Q8">
            <v>66000</v>
          </cell>
          <cell r="R8">
            <v>66000</v>
          </cell>
          <cell r="S8">
            <v>66000</v>
          </cell>
          <cell r="T8">
            <v>66000</v>
          </cell>
          <cell r="U8">
            <v>66000</v>
          </cell>
          <cell r="V8">
            <v>66000</v>
          </cell>
        </row>
        <row r="9">
          <cell r="K9">
            <v>80662092.893341199</v>
          </cell>
          <cell r="L9">
            <v>87150663.773341209</v>
          </cell>
          <cell r="M9">
            <v>93639234.653341204</v>
          </cell>
          <cell r="N9">
            <v>100127805.5333412</v>
          </cell>
          <cell r="O9">
            <v>106616376.41334119</v>
          </cell>
          <cell r="P9">
            <v>113104947.2933412</v>
          </cell>
          <cell r="Q9">
            <v>119593518.1733412</v>
          </cell>
          <cell r="R9">
            <v>123980654.35227481</v>
          </cell>
          <cell r="S9">
            <v>123980654.35227481</v>
          </cell>
          <cell r="T9">
            <v>123980654.35227481</v>
          </cell>
          <cell r="U9">
            <v>123980654.35227481</v>
          </cell>
          <cell r="V9">
            <v>123980654.35227481</v>
          </cell>
        </row>
        <row r="10">
          <cell r="C10" t="str">
            <v>Cargo fijo alcantarillado</v>
          </cell>
          <cell r="K10">
            <v>283515.76220065932</v>
          </cell>
          <cell r="L10">
            <v>283515.76220065932</v>
          </cell>
          <cell r="M10">
            <v>283515.76220065932</v>
          </cell>
          <cell r="N10">
            <v>283515.76220065932</v>
          </cell>
          <cell r="O10">
            <v>283515.76220065932</v>
          </cell>
          <cell r="P10">
            <v>283515.76220065932</v>
          </cell>
          <cell r="Q10">
            <v>283515.76220065932</v>
          </cell>
          <cell r="R10">
            <v>293916.17751284735</v>
          </cell>
          <cell r="S10">
            <v>293916.17751284735</v>
          </cell>
          <cell r="T10">
            <v>293916.17751284735</v>
          </cell>
          <cell r="U10">
            <v>293916.17751284735</v>
          </cell>
          <cell r="V10">
            <v>293916.17751284735</v>
          </cell>
        </row>
        <row r="11">
          <cell r="C11" t="str">
            <v>Cargo variable alcantarillado</v>
          </cell>
          <cell r="K11">
            <v>480246.0874196685</v>
          </cell>
          <cell r="L11">
            <v>480246.0874196685</v>
          </cell>
          <cell r="M11">
            <v>480246.0874196685</v>
          </cell>
          <cell r="N11">
            <v>480246.0874196685</v>
          </cell>
          <cell r="O11">
            <v>480246.0874196685</v>
          </cell>
          <cell r="P11">
            <v>480246.0874196685</v>
          </cell>
          <cell r="Q11">
            <v>480246.0874196685</v>
          </cell>
          <cell r="R11">
            <v>497863.30461580743</v>
          </cell>
          <cell r="S11">
            <v>497863.30461580743</v>
          </cell>
          <cell r="T11">
            <v>497863.30461580743</v>
          </cell>
          <cell r="U11">
            <v>497863.30461580743</v>
          </cell>
          <cell r="V11">
            <v>497863.30461580743</v>
          </cell>
        </row>
        <row r="12">
          <cell r="K12"/>
          <cell r="L12"/>
          <cell r="M12">
            <v>2500000000</v>
          </cell>
          <cell r="N12"/>
          <cell r="O12"/>
          <cell r="P12"/>
          <cell r="Q12">
            <v>5887170083.3095598</v>
          </cell>
          <cell r="R12"/>
          <cell r="S12"/>
          <cell r="T12"/>
          <cell r="U12"/>
          <cell r="V12"/>
        </row>
        <row r="14">
          <cell r="H14">
            <v>1200000000</v>
          </cell>
        </row>
        <row r="15">
          <cell r="C15" t="str">
            <v>Suministro bomba lodos</v>
          </cell>
          <cell r="H15">
            <v>5000000</v>
          </cell>
        </row>
        <row r="16">
          <cell r="H16">
            <v>8000000</v>
          </cell>
        </row>
        <row r="18">
          <cell r="H18">
            <v>5000000</v>
          </cell>
        </row>
        <row r="20">
          <cell r="H20">
            <v>30000000</v>
          </cell>
        </row>
        <row r="21">
          <cell r="H21">
            <v>1600000</v>
          </cell>
        </row>
        <row r="22">
          <cell r="H22">
            <v>120000000</v>
          </cell>
        </row>
        <row r="23">
          <cell r="H23">
            <v>25000000</v>
          </cell>
        </row>
        <row r="24">
          <cell r="H24">
            <v>12000000</v>
          </cell>
        </row>
        <row r="25">
          <cell r="H25">
            <v>24000000</v>
          </cell>
        </row>
        <row r="26">
          <cell r="H26">
            <v>26640000</v>
          </cell>
        </row>
        <row r="27">
          <cell r="H27">
            <v>24000000</v>
          </cell>
        </row>
        <row r="28">
          <cell r="H28">
            <v>366000000</v>
          </cell>
        </row>
        <row r="29">
          <cell r="H29">
            <v>84000000</v>
          </cell>
        </row>
        <row r="30">
          <cell r="H30">
            <v>60000000</v>
          </cell>
        </row>
        <row r="31">
          <cell r="H31">
            <v>30000000</v>
          </cell>
        </row>
        <row r="32">
          <cell r="H32">
            <v>1020000</v>
          </cell>
        </row>
        <row r="33">
          <cell r="H33">
            <v>2160000</v>
          </cell>
        </row>
        <row r="34">
          <cell r="H34">
            <v>168000000</v>
          </cell>
        </row>
        <row r="48">
          <cell r="E48">
            <v>975398331.34543312</v>
          </cell>
        </row>
        <row r="49">
          <cell r="H49">
            <v>29568000</v>
          </cell>
        </row>
        <row r="50">
          <cell r="H50">
            <v>764736000.00000012</v>
          </cell>
        </row>
        <row r="51">
          <cell r="H51">
            <v>12264000</v>
          </cell>
        </row>
        <row r="52">
          <cell r="H52">
            <v>3000000</v>
          </cell>
        </row>
        <row r="53">
          <cell r="H53">
            <v>9825000</v>
          </cell>
        </row>
        <row r="54">
          <cell r="H54">
            <v>98400000</v>
          </cell>
        </row>
        <row r="55">
          <cell r="H55">
            <v>39148000</v>
          </cell>
        </row>
        <row r="56">
          <cell r="H56">
            <v>80000000</v>
          </cell>
        </row>
        <row r="57">
          <cell r="H57">
            <v>19000000</v>
          </cell>
        </row>
        <row r="58">
          <cell r="H58">
            <v>10000000</v>
          </cell>
        </row>
        <row r="59">
          <cell r="H59">
            <v>6000000</v>
          </cell>
        </row>
        <row r="60">
          <cell r="H60">
            <v>48000000</v>
          </cell>
        </row>
        <row r="61">
          <cell r="H61">
            <v>12900000</v>
          </cell>
        </row>
        <row r="62">
          <cell r="H62">
            <v>10064000</v>
          </cell>
        </row>
        <row r="63">
          <cell r="H63">
            <v>143580000</v>
          </cell>
        </row>
        <row r="64">
          <cell r="H64">
            <v>18586000</v>
          </cell>
        </row>
        <row r="65">
          <cell r="H65">
            <v>31500000</v>
          </cell>
        </row>
        <row r="66">
          <cell r="H66">
            <v>56000000</v>
          </cell>
        </row>
        <row r="67">
          <cell r="H67">
            <v>30870000</v>
          </cell>
        </row>
        <row r="68">
          <cell r="H68">
            <v>117000000</v>
          </cell>
        </row>
        <row r="69">
          <cell r="H69">
            <v>82018600</v>
          </cell>
        </row>
        <row r="70">
          <cell r="H70">
            <v>35000000</v>
          </cell>
        </row>
        <row r="71">
          <cell r="H71">
            <v>52971800</v>
          </cell>
        </row>
        <row r="72">
          <cell r="H72">
            <v>27000000</v>
          </cell>
        </row>
        <row r="73">
          <cell r="H73">
            <v>45470400</v>
          </cell>
        </row>
        <row r="74">
          <cell r="H74">
            <v>6000000</v>
          </cell>
        </row>
        <row r="75">
          <cell r="H75">
            <v>3270000</v>
          </cell>
        </row>
        <row r="76">
          <cell r="H76">
            <v>12000000</v>
          </cell>
        </row>
        <row r="77">
          <cell r="H77">
            <v>4285000</v>
          </cell>
        </row>
        <row r="78">
          <cell r="H78">
            <v>1000000</v>
          </cell>
        </row>
        <row r="79">
          <cell r="H79">
            <v>15000000</v>
          </cell>
        </row>
        <row r="80">
          <cell r="H80">
            <v>3450000</v>
          </cell>
        </row>
        <row r="81">
          <cell r="H81">
            <v>9000000</v>
          </cell>
        </row>
        <row r="82">
          <cell r="H82">
            <v>9000000</v>
          </cell>
        </row>
        <row r="83">
          <cell r="H83">
            <v>26400000</v>
          </cell>
        </row>
        <row r="84">
          <cell r="H84">
            <v>10800000</v>
          </cell>
        </row>
        <row r="85">
          <cell r="H85">
            <v>1020000</v>
          </cell>
        </row>
        <row r="86">
          <cell r="H86">
            <v>2160000</v>
          </cell>
        </row>
        <row r="87">
          <cell r="H87">
            <v>25200000</v>
          </cell>
        </row>
        <row r="88">
          <cell r="H88">
            <v>2000000</v>
          </cell>
        </row>
        <row r="89">
          <cell r="H89">
            <v>10500000</v>
          </cell>
        </row>
        <row r="90">
          <cell r="H90">
            <v>15000000</v>
          </cell>
        </row>
        <row r="91">
          <cell r="H91">
            <v>65000000</v>
          </cell>
        </row>
        <row r="103">
          <cell r="D103">
            <v>321558151.11005127</v>
          </cell>
        </row>
        <row r="104">
          <cell r="H104">
            <v>5000000</v>
          </cell>
        </row>
        <row r="105">
          <cell r="H105">
            <v>35000000</v>
          </cell>
        </row>
        <row r="106">
          <cell r="H106">
            <v>55000000</v>
          </cell>
        </row>
        <row r="116">
          <cell r="E116">
            <v>45053763.229277767</v>
          </cell>
        </row>
        <row r="117">
          <cell r="H117">
            <v>552096000</v>
          </cell>
        </row>
        <row r="118">
          <cell r="H118">
            <v>140400000</v>
          </cell>
        </row>
        <row r="119">
          <cell r="H119">
            <v>14000000</v>
          </cell>
        </row>
        <row r="120">
          <cell r="H120">
            <v>88000000</v>
          </cell>
        </row>
        <row r="121">
          <cell r="H121">
            <v>7000000</v>
          </cell>
        </row>
        <row r="122">
          <cell r="H122">
            <v>175290570</v>
          </cell>
        </row>
        <row r="123">
          <cell r="H123">
            <v>29000000</v>
          </cell>
        </row>
        <row r="124">
          <cell r="H124">
            <v>3600000</v>
          </cell>
        </row>
        <row r="125">
          <cell r="H125">
            <v>44455542.851999998</v>
          </cell>
        </row>
        <row r="126">
          <cell r="H126">
            <v>60000000</v>
          </cell>
        </row>
        <row r="127">
          <cell r="H127">
            <v>20000000</v>
          </cell>
        </row>
        <row r="128">
          <cell r="H128">
            <v>26027616</v>
          </cell>
        </row>
        <row r="129">
          <cell r="H129">
            <v>6000000</v>
          </cell>
        </row>
        <row r="130">
          <cell r="H130">
            <v>78329763.720000014</v>
          </cell>
        </row>
        <row r="131">
          <cell r="H131">
            <v>7000000</v>
          </cell>
        </row>
        <row r="132">
          <cell r="H132">
            <v>2640000</v>
          </cell>
        </row>
        <row r="133">
          <cell r="H133">
            <v>5000000</v>
          </cell>
        </row>
        <row r="134">
          <cell r="H134">
            <v>15000000</v>
          </cell>
        </row>
        <row r="135">
          <cell r="H135">
            <v>50000000</v>
          </cell>
        </row>
        <row r="136">
          <cell r="H136">
            <v>40000000</v>
          </cell>
        </row>
        <row r="137">
          <cell r="H137">
            <v>1020000</v>
          </cell>
        </row>
        <row r="138">
          <cell r="H138">
            <v>2160000</v>
          </cell>
        </row>
        <row r="139">
          <cell r="H139">
            <v>4200000</v>
          </cell>
        </row>
        <row r="152">
          <cell r="D152">
            <v>1348189693.8599594</v>
          </cell>
        </row>
        <row r="154">
          <cell r="H154">
            <v>45000000</v>
          </cell>
        </row>
        <row r="155">
          <cell r="H155">
            <v>10800000</v>
          </cell>
        </row>
        <row r="156">
          <cell r="H156">
            <v>18000000</v>
          </cell>
        </row>
        <row r="157">
          <cell r="H157">
            <v>191160000</v>
          </cell>
        </row>
        <row r="158">
          <cell r="H158">
            <v>98500718</v>
          </cell>
        </row>
        <row r="159">
          <cell r="H159">
            <v>42000000</v>
          </cell>
        </row>
        <row r="160">
          <cell r="H160">
            <v>31500000</v>
          </cell>
        </row>
        <row r="161">
          <cell r="H161">
            <v>7000000</v>
          </cell>
        </row>
        <row r="162">
          <cell r="H162">
            <v>16000000</v>
          </cell>
        </row>
        <row r="163">
          <cell r="H163">
            <v>72000000</v>
          </cell>
        </row>
        <row r="164">
          <cell r="H164">
            <v>369000</v>
          </cell>
        </row>
        <row r="165">
          <cell r="H165">
            <v>30000000</v>
          </cell>
        </row>
        <row r="176">
          <cell r="D176">
            <v>260086854.6773397</v>
          </cell>
        </row>
        <row r="177">
          <cell r="H177">
            <v>39052465</v>
          </cell>
        </row>
        <row r="178">
          <cell r="H178">
            <v>18100000</v>
          </cell>
        </row>
        <row r="179">
          <cell r="H179">
            <v>8000000</v>
          </cell>
        </row>
        <row r="180">
          <cell r="H180">
            <v>30000000</v>
          </cell>
        </row>
        <row r="181">
          <cell r="H181">
            <v>24000000</v>
          </cell>
        </row>
        <row r="182">
          <cell r="H182">
            <v>10000000</v>
          </cell>
        </row>
        <row r="183">
          <cell r="H183">
            <v>10000000</v>
          </cell>
        </row>
        <row r="184">
          <cell r="H184">
            <v>10000000</v>
          </cell>
        </row>
        <row r="185">
          <cell r="H185">
            <v>10000000</v>
          </cell>
        </row>
        <row r="186">
          <cell r="H186">
            <v>20000000</v>
          </cell>
        </row>
        <row r="187">
          <cell r="H187">
            <v>1500000000</v>
          </cell>
        </row>
        <row r="188">
          <cell r="H188">
            <v>9000000</v>
          </cell>
        </row>
        <row r="189">
          <cell r="H189">
            <v>10863395269.79406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294">
          <cell r="O294">
            <v>1229936553.214649</v>
          </cell>
        </row>
        <row r="311">
          <cell r="P311">
            <v>0</v>
          </cell>
          <cell r="Q311">
            <v>0</v>
          </cell>
          <cell r="R311">
            <v>0</v>
          </cell>
        </row>
        <row r="317">
          <cell r="P317">
            <v>0</v>
          </cell>
          <cell r="X317">
            <v>0</v>
          </cell>
          <cell r="Y317">
            <v>0</v>
          </cell>
        </row>
        <row r="318"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  <cell r="X318">
            <v>0</v>
          </cell>
          <cell r="Z318">
            <v>0</v>
          </cell>
        </row>
        <row r="326">
          <cell r="S326">
            <v>0</v>
          </cell>
          <cell r="U326">
            <v>0</v>
          </cell>
          <cell r="W326">
            <v>0</v>
          </cell>
          <cell r="Y326">
            <v>0</v>
          </cell>
        </row>
        <row r="342"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86" t="s">
        <v>51</v>
      </c>
      <c r="B1" s="86"/>
      <c r="C1" s="86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85" t="s">
        <v>64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23"/>
      <c r="AF3" s="23"/>
      <c r="AG3" s="23"/>
    </row>
    <row r="4" spans="1:41" ht="15.75" thickBot="1" x14ac:dyDescent="0.3">
      <c r="A4" s="23"/>
      <c r="B4" s="23"/>
      <c r="C4" s="87" t="s">
        <v>105</v>
      </c>
      <c r="D4" s="88"/>
      <c r="E4" s="89"/>
      <c r="F4" s="87" t="s">
        <v>107</v>
      </c>
      <c r="G4" s="88"/>
      <c r="H4" s="89"/>
      <c r="I4" s="87" t="s">
        <v>109</v>
      </c>
      <c r="J4" s="88"/>
      <c r="K4" s="89"/>
      <c r="L4" s="87" t="s">
        <v>112</v>
      </c>
      <c r="M4" s="88"/>
      <c r="N4" s="89"/>
      <c r="O4" s="87" t="s">
        <v>113</v>
      </c>
      <c r="P4" s="88"/>
      <c r="Q4" s="89"/>
      <c r="R4" s="87" t="s">
        <v>115</v>
      </c>
      <c r="S4" s="88"/>
      <c r="T4" s="89"/>
      <c r="U4" s="23"/>
      <c r="V4" s="23"/>
      <c r="W4" s="23"/>
      <c r="X4" s="23"/>
      <c r="Y4" s="23"/>
      <c r="Z4" s="23"/>
      <c r="AA4" s="90" t="s">
        <v>48</v>
      </c>
      <c r="AB4" s="91"/>
      <c r="AC4" s="91"/>
      <c r="AD4" s="92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8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+[3]Resultados2023!$E$175+[3]Resultados2023!$C$175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194441183.24237967</v>
      </c>
      <c r="M12" s="7">
        <f t="shared" ref="M12:N12" si="11">SUM(M6:M11)</f>
        <v>35419334.489999995</v>
      </c>
      <c r="N12" s="7">
        <f t="shared" si="11"/>
        <v>159021848.75237969</v>
      </c>
      <c r="O12" s="7">
        <f t="shared" si="10"/>
        <v>200929754.12237966</v>
      </c>
      <c r="P12" s="7">
        <f t="shared" si="10"/>
        <v>55384270.009999998</v>
      </c>
      <c r="Q12" s="7">
        <f t="shared" si="10"/>
        <v>145545484.11237967</v>
      </c>
      <c r="R12" s="7">
        <f t="shared" si="10"/>
        <v>207418325.00237966</v>
      </c>
      <c r="S12" s="7">
        <f t="shared" si="10"/>
        <v>0</v>
      </c>
      <c r="T12" s="7">
        <f t="shared" si="10"/>
        <v>207418325.00237966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4052726574.7295189</v>
      </c>
      <c r="AB12" s="7">
        <f>SUM(AB6:AB11)</f>
        <v>227934256.09</v>
      </c>
      <c r="AC12" s="7">
        <f t="shared" si="10"/>
        <v>3824792318.6395187</v>
      </c>
      <c r="AD12" s="31">
        <f t="shared" si="9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+[4]Resultados2023!$D$9-[4]Resultados2023!$D$24-[4]Resultados2023!$C$24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+[3]Resultados2023!$E$9-700236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+[5]Resultados2023!$F$9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+[6]Hoja1!$G$9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+[1]EjecucionPptalPasiva!$Q$203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26000000</v>
      </c>
      <c r="J15" s="4" t="e">
        <f>+#REF!</f>
        <v>#REF!</v>
      </c>
      <c r="K15" s="4" t="e">
        <f t="shared" si="1"/>
        <v>#REF!</v>
      </c>
      <c r="L15" s="4">
        <f>+'202401anual'!F17</f>
        <v>18000000</v>
      </c>
      <c r="M15" s="4" t="e">
        <f>+#REF!</f>
        <v>#REF!</v>
      </c>
      <c r="N15" s="4" t="e">
        <f t="shared" si="12"/>
        <v>#REF!</v>
      </c>
      <c r="O15" s="4">
        <f>+'202401anual'!G17</f>
        <v>24600000</v>
      </c>
      <c r="P15" s="4" t="e">
        <f>+#REF!</f>
        <v>#REF!</v>
      </c>
      <c r="Q15" s="4" t="e">
        <f t="shared" si="13"/>
        <v>#REF!</v>
      </c>
      <c r="R15" s="4">
        <f>+'202401anual'!H17</f>
        <v>18000000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134433200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4220000</v>
      </c>
      <c r="M16" s="4" t="e">
        <f>+#REF!</f>
        <v>#REF!</v>
      </c>
      <c r="N16" s="4" t="e">
        <f t="shared" si="12"/>
        <v>#REF!</v>
      </c>
      <c r="O16" s="4">
        <f>+'202401anual'!G27</f>
        <v>4220000</v>
      </c>
      <c r="P16" s="4" t="e">
        <f>+#REF!</f>
        <v>#REF!</v>
      </c>
      <c r="Q16" s="4" t="e">
        <f t="shared" si="13"/>
        <v>#REF!</v>
      </c>
      <c r="R16" s="4">
        <f>+'202401anual'!H27</f>
        <v>4220000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446692350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+'202401anual'!D35</f>
        <v>0</v>
      </c>
      <c r="G18" s="4">
        <v>0</v>
      </c>
      <c r="H18" s="4">
        <f t="shared" si="0"/>
        <v>0</v>
      </c>
      <c r="I18" s="4">
        <f>+'202401anual'!E35</f>
        <v>0</v>
      </c>
      <c r="J18" s="4" t="e">
        <f>+#REF!</f>
        <v>#REF!</v>
      </c>
      <c r="K18" s="4" t="e">
        <f t="shared" si="1"/>
        <v>#REF!</v>
      </c>
      <c r="L18" s="4">
        <f>+'202401anual'!F35</f>
        <v>0</v>
      </c>
      <c r="M18" s="4" t="e">
        <f>+#REF!</f>
        <v>#REF!</v>
      </c>
      <c r="N18" s="4" t="e">
        <f t="shared" si="12"/>
        <v>#REF!</v>
      </c>
      <c r="O18" s="4">
        <f>+'202401anual'!G35</f>
        <v>0</v>
      </c>
      <c r="P18" s="4" t="e">
        <f>+#REF!</f>
        <v>#REF!</v>
      </c>
      <c r="Q18" s="4" t="e">
        <f t="shared" si="13"/>
        <v>#REF!</v>
      </c>
      <c r="R18" s="4">
        <f>+'202401anual'!H35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+'202401anual'!D36</f>
        <v>46765000</v>
      </c>
      <c r="G19" s="4">
        <f>1005925+499333+3000000</f>
        <v>4505258</v>
      </c>
      <c r="H19" s="4">
        <f t="shared" si="0"/>
        <v>42259742</v>
      </c>
      <c r="I19" s="4">
        <f>+'202401anual'!E36</f>
        <v>56765000</v>
      </c>
      <c r="J19" s="4" t="e">
        <f>+#REF!</f>
        <v>#REF!</v>
      </c>
      <c r="K19" s="4" t="e">
        <f t="shared" si="1"/>
        <v>#REF!</v>
      </c>
      <c r="L19" s="4">
        <f>+'202401anual'!F36</f>
        <v>79765000</v>
      </c>
      <c r="M19" s="4" t="e">
        <f>+#REF!</f>
        <v>#REF!</v>
      </c>
      <c r="N19" s="4" t="e">
        <f t="shared" si="12"/>
        <v>#REF!</v>
      </c>
      <c r="O19" s="4">
        <f>+'202401anual'!G36</f>
        <v>65765000</v>
      </c>
      <c r="P19" s="4" t="e">
        <f>+#REF!</f>
        <v>#REF!</v>
      </c>
      <c r="Q19" s="4" t="e">
        <f t="shared" si="13"/>
        <v>#REF!</v>
      </c>
      <c r="R19" s="4">
        <f>+'202401anual'!H36</f>
        <v>40765000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296475000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198268194</v>
      </c>
      <c r="J20" s="8" t="e">
        <f t="shared" si="17"/>
        <v>#REF!</v>
      </c>
      <c r="K20" s="8" t="e">
        <f t="shared" si="17"/>
        <v>#REF!</v>
      </c>
      <c r="L20" s="8">
        <f t="shared" si="17"/>
        <v>183268194</v>
      </c>
      <c r="M20" s="8" t="e">
        <f t="shared" si="17"/>
        <v>#REF!</v>
      </c>
      <c r="N20" s="8" t="e">
        <f t="shared" si="17"/>
        <v>#REF!</v>
      </c>
      <c r="O20" s="8">
        <f t="shared" si="17"/>
        <v>175868194</v>
      </c>
      <c r="P20" s="8" t="e">
        <f t="shared" si="17"/>
        <v>#REF!</v>
      </c>
      <c r="Q20" s="8" t="e">
        <f t="shared" si="17"/>
        <v>#VALUE!</v>
      </c>
      <c r="R20" s="8">
        <f>+'202401anual'!H44</f>
        <v>144268194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1413118858.3301342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+'202401anual'!D45</f>
        <v>3754480.2691064808</v>
      </c>
      <c r="G21" s="4">
        <f>+[4]Resultados2023!$D$25</f>
        <v>3491616</v>
      </c>
      <c r="H21" s="4">
        <f t="shared" ref="H21:H22" si="19">+F21-G21</f>
        <v>262864.26910648076</v>
      </c>
      <c r="I21" s="4">
        <f>+'202401anual'!E45</f>
        <v>3754480.2691064808</v>
      </c>
      <c r="J21" s="4">
        <f>+[3]Resultados2023!$E$25</f>
        <v>3505299</v>
      </c>
      <c r="K21" s="4">
        <f t="shared" si="1"/>
        <v>249181.26910648076</v>
      </c>
      <c r="L21" s="4">
        <f>+'202401anual'!F45</f>
        <v>3754480.2691064808</v>
      </c>
      <c r="M21" s="4">
        <f>+[5]Resultados2023!$F$25</f>
        <v>3643137</v>
      </c>
      <c r="N21" s="4">
        <f t="shared" ref="N21:N22" si="20">+L21-M21</f>
        <v>111343.26910648076</v>
      </c>
      <c r="O21" s="4">
        <f>+'202401anual'!G45</f>
        <v>3754480.2691064808</v>
      </c>
      <c r="P21" s="4" t="str">
        <f>+[6]Hoja1!$G$25</f>
        <v>NUEVA EPS</v>
      </c>
      <c r="Q21" s="4" t="e">
        <f t="shared" ref="Q21:Q22" si="21">+O21-P21</f>
        <v>#VALUE!</v>
      </c>
      <c r="R21" s="4">
        <f>+'202401anual'!H45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+'202401anual'!D46</f>
        <v>50000000</v>
      </c>
      <c r="G22" s="4">
        <v>31735</v>
      </c>
      <c r="H22" s="4">
        <f t="shared" si="19"/>
        <v>49968265</v>
      </c>
      <c r="I22" s="4">
        <f>+'202401anual'!E46</f>
        <v>20000000</v>
      </c>
      <c r="J22" s="4" t="e">
        <f>+#REF!</f>
        <v>#REF!</v>
      </c>
      <c r="K22" s="4" t="e">
        <f t="shared" si="1"/>
        <v>#REF!</v>
      </c>
      <c r="L22" s="4">
        <f>+'202401anual'!F46</f>
        <v>20000000</v>
      </c>
      <c r="M22" s="4">
        <v>31735</v>
      </c>
      <c r="N22" s="4">
        <f t="shared" si="20"/>
        <v>19968265</v>
      </c>
      <c r="O22" s="4">
        <f>+'202401anual'!G46</f>
        <v>5000000</v>
      </c>
      <c r="P22" s="4">
        <v>31735</v>
      </c>
      <c r="Q22" s="4">
        <f t="shared" si="21"/>
        <v>4968265</v>
      </c>
      <c r="R22" s="4">
        <f>+'202401anual'!H46</f>
        <v>0</v>
      </c>
      <c r="S22" s="4"/>
      <c r="T22" s="4">
        <f t="shared" si="22"/>
        <v>0</v>
      </c>
      <c r="U22" s="4"/>
      <c r="V22" s="4"/>
      <c r="W22" s="4"/>
      <c r="X22" s="4"/>
      <c r="Y22" s="4"/>
      <c r="Z22" s="4"/>
      <c r="AA22" s="4">
        <f t="shared" si="23"/>
        <v>98250000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23754480.269106481</v>
      </c>
      <c r="M23" s="8">
        <f t="shared" si="25"/>
        <v>3674872</v>
      </c>
      <c r="N23" s="8">
        <f t="shared" si="25"/>
        <v>20079608.269106481</v>
      </c>
      <c r="O23" s="8">
        <f t="shared" si="25"/>
        <v>8754480.2691064812</v>
      </c>
      <c r="P23" s="8">
        <f t="shared" si="25"/>
        <v>31735</v>
      </c>
      <c r="Q23" s="8" t="e">
        <f t="shared" si="25"/>
        <v>#VALUE!</v>
      </c>
      <c r="R23" s="8">
        <f>+'202401anual'!H47</f>
        <v>3754480.2691064808</v>
      </c>
      <c r="S23" s="8">
        <f t="shared" si="25"/>
        <v>0</v>
      </c>
      <c r="T23" s="8">
        <f t="shared" si="25"/>
        <v>3754480.2691064808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120407984.92208105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222022674.26910648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207022674.26910648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184622674.26910648</v>
      </c>
      <c r="P24" s="8" t="e">
        <f t="shared" si="26"/>
        <v>#REF!</v>
      </c>
      <c r="Q24" s="8" t="e">
        <f t="shared" si="26"/>
        <v>#VALUE!</v>
      </c>
      <c r="R24" s="8">
        <f>+'202401anual'!H48</f>
        <v>148022674.26910648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1533526843.2522151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+'202401anual'!D49</f>
        <v>112349141.15499662</v>
      </c>
      <c r="G25" s="4">
        <f>+[4]Resultados2023!$D$39-[4]Resultados2023!$D$55-[4]Resultados2023!$C$55</f>
        <v>89823865.359999999</v>
      </c>
      <c r="H25" s="4">
        <f t="shared" ref="H25:H86" si="28">+F25-G25</f>
        <v>22525275.794996619</v>
      </c>
      <c r="I25" s="4">
        <f>+'202401anual'!E49</f>
        <v>112349141.15499662</v>
      </c>
      <c r="J25" s="4">
        <f>+[3]Resultados2023!$E$39-2640011</f>
        <v>96979851.420000002</v>
      </c>
      <c r="K25" s="4">
        <f t="shared" ref="K25:K33" si="29">+I25-J25</f>
        <v>15369289.734996617</v>
      </c>
      <c r="L25" s="4">
        <f>+'202401anual'!F49</f>
        <v>112349141.15499662</v>
      </c>
      <c r="M25" s="4">
        <f>+[5]Resultados2023!$F$39</f>
        <v>106508725.89</v>
      </c>
      <c r="N25" s="4">
        <f t="shared" ref="N25:N33" si="30">+L25-M25</f>
        <v>5840415.264996618</v>
      </c>
      <c r="O25" s="4">
        <f>+'202401anual'!G49</f>
        <v>112349141.15499662</v>
      </c>
      <c r="P25" s="4" t="str">
        <f>+[6]Hoja1!$G$39</f>
        <v>NUEVA EPS</v>
      </c>
      <c r="Q25" s="4" t="e">
        <f t="shared" ref="Q25:Q33" si="31">+O25-P25</f>
        <v>#VALUE!</v>
      </c>
      <c r="R25" s="4">
        <f>+'202401anual'!H49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+'202401anual'!D50</f>
        <v>0</v>
      </c>
      <c r="G26" s="10">
        <v>0</v>
      </c>
      <c r="H26" s="4">
        <f t="shared" si="28"/>
        <v>0</v>
      </c>
      <c r="I26" s="4">
        <f>+'202401anual'!E50</f>
        <v>0</v>
      </c>
      <c r="J26" s="10">
        <v>0</v>
      </c>
      <c r="K26" s="4">
        <f t="shared" si="29"/>
        <v>0</v>
      </c>
      <c r="L26" s="4">
        <f>+'202401anual'!F50</f>
        <v>0</v>
      </c>
      <c r="M26" s="4" t="e">
        <f>+#REF!</f>
        <v>#REF!</v>
      </c>
      <c r="N26" s="4" t="e">
        <f t="shared" si="30"/>
        <v>#REF!</v>
      </c>
      <c r="O26" s="4">
        <f>+'202401anual'!G50</f>
        <v>0</v>
      </c>
      <c r="P26" s="10">
        <v>0</v>
      </c>
      <c r="Q26" s="4">
        <f t="shared" si="31"/>
        <v>0</v>
      </c>
      <c r="R26" s="4">
        <f>+'202401anual'!H50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+'202401anual'!D51</f>
        <v>0</v>
      </c>
      <c r="G27" s="4">
        <v>31735</v>
      </c>
      <c r="H27" s="4">
        <f t="shared" si="28"/>
        <v>-31735</v>
      </c>
      <c r="I27" s="4">
        <f>+'202401anual'!E51</f>
        <v>0</v>
      </c>
      <c r="J27" s="4" t="e">
        <f>+#REF!</f>
        <v>#REF!</v>
      </c>
      <c r="K27" s="4" t="e">
        <f t="shared" si="29"/>
        <v>#REF!</v>
      </c>
      <c r="L27" s="4">
        <f>+'202401anual'!F51</f>
        <v>0</v>
      </c>
      <c r="M27" s="4" t="e">
        <f>+#REF!</f>
        <v>#REF!</v>
      </c>
      <c r="N27" s="4" t="e">
        <f t="shared" si="30"/>
        <v>#REF!</v>
      </c>
      <c r="O27" s="4">
        <f>+'202401anual'!G51</f>
        <v>0</v>
      </c>
      <c r="P27" s="4" t="e">
        <f>+#REF!</f>
        <v>#REF!</v>
      </c>
      <c r="Q27" s="4" t="e">
        <f t="shared" si="31"/>
        <v>#REF!</v>
      </c>
      <c r="R27" s="4">
        <f>+'202401anual'!H51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+'202401anual'!D54</f>
        <v>59412573</v>
      </c>
      <c r="G28" s="4">
        <f>63470+22169100</f>
        <v>22232570</v>
      </c>
      <c r="H28" s="4">
        <f t="shared" si="28"/>
        <v>37180003</v>
      </c>
      <c r="I28" s="4">
        <f>+'202401anual'!E54</f>
        <v>60443694</v>
      </c>
      <c r="J28" s="4" t="e">
        <f>+#REF!</f>
        <v>#REF!</v>
      </c>
      <c r="K28" s="4" t="e">
        <f t="shared" si="29"/>
        <v>#REF!</v>
      </c>
      <c r="L28" s="4">
        <f>+'202401anual'!F54</f>
        <v>60443694</v>
      </c>
      <c r="M28" s="4" t="e">
        <f>+#REF!</f>
        <v>#REF!</v>
      </c>
      <c r="N28" s="4" t="e">
        <f t="shared" si="30"/>
        <v>#REF!</v>
      </c>
      <c r="O28" s="4">
        <f>+'202401anual'!G54</f>
        <v>61474815</v>
      </c>
      <c r="P28" s="4" t="e">
        <f>+#REF!</f>
        <v>#REF!</v>
      </c>
      <c r="Q28" s="4" t="e">
        <f t="shared" si="31"/>
        <v>#REF!</v>
      </c>
      <c r="R28" s="46">
        <f>+'202401anual'!H54-7200000000-720000000</f>
        <v>-7859556306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-7561913803.8000002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+'202401anual'!D58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+'202401anual'!E58</f>
        <v>39798775.880999997</v>
      </c>
      <c r="J29" s="4" t="e">
        <f>+#REF!</f>
        <v>#REF!</v>
      </c>
      <c r="K29" s="4" t="e">
        <f t="shared" si="29"/>
        <v>#REF!</v>
      </c>
      <c r="L29" s="4">
        <f>+'202401anual'!F58</f>
        <v>35598775.880999997</v>
      </c>
      <c r="M29" s="4" t="e">
        <f>+#REF!</f>
        <v>#REF!</v>
      </c>
      <c r="N29" s="4" t="e">
        <f t="shared" si="30"/>
        <v>#REF!</v>
      </c>
      <c r="O29" s="4">
        <f>+'202401anual'!G58</f>
        <v>50598775.880999997</v>
      </c>
      <c r="P29" s="4" t="e">
        <f>+#REF!</f>
        <v>#REF!</v>
      </c>
      <c r="Q29" s="4" t="e">
        <f t="shared" si="31"/>
        <v>#REF!</v>
      </c>
      <c r="R29" s="4">
        <f>+'202401anual'!H58</f>
        <v>44598775.881000005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316237795.00499994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+'202401anual'!D72</f>
        <v>2115000</v>
      </c>
      <c r="G30" s="4">
        <f>3454434+117651+3000000</f>
        <v>6572085</v>
      </c>
      <c r="H30" s="4">
        <f t="shared" si="28"/>
        <v>-4457085</v>
      </c>
      <c r="I30" s="4">
        <f>+'202401anual'!E72</f>
        <v>1755000</v>
      </c>
      <c r="J30" s="4" t="e">
        <f>+#REF!</f>
        <v>#REF!</v>
      </c>
      <c r="K30" s="4" t="e">
        <f t="shared" si="29"/>
        <v>#REF!</v>
      </c>
      <c r="L30" s="4">
        <f>+'202401anual'!F72</f>
        <v>615000</v>
      </c>
      <c r="M30" s="4" t="e">
        <f>+#REF!</f>
        <v>#REF!</v>
      </c>
      <c r="N30" s="4" t="e">
        <f t="shared" si="30"/>
        <v>#REF!</v>
      </c>
      <c r="O30" s="4">
        <f>+'202401anual'!G72</f>
        <v>615000</v>
      </c>
      <c r="P30" s="4" t="e">
        <f>+#REF!</f>
        <v>#REF!</v>
      </c>
      <c r="Q30" s="4" t="e">
        <f t="shared" si="31"/>
        <v>#REF!</v>
      </c>
      <c r="R30" s="46">
        <f>+'202401anual'!H72-10000000-10000000</f>
        <v>-19385000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119421950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+'202401anual'!D79</f>
        <v>0</v>
      </c>
      <c r="G31" s="4">
        <v>0</v>
      </c>
      <c r="H31" s="4">
        <f t="shared" si="28"/>
        <v>0</v>
      </c>
      <c r="I31" s="4">
        <f>+'202401anual'!E79</f>
        <v>0</v>
      </c>
      <c r="J31" s="4">
        <v>0</v>
      </c>
      <c r="K31" s="4">
        <f t="shared" si="29"/>
        <v>0</v>
      </c>
      <c r="L31" s="4">
        <f>+'202401anual'!F79</f>
        <v>0</v>
      </c>
      <c r="M31" s="4">
        <v>0</v>
      </c>
      <c r="N31" s="4">
        <f t="shared" si="30"/>
        <v>0</v>
      </c>
      <c r="O31" s="4">
        <f>+'202401anual'!G79</f>
        <v>0</v>
      </c>
      <c r="P31" s="4">
        <v>0</v>
      </c>
      <c r="Q31" s="4">
        <f t="shared" si="31"/>
        <v>0</v>
      </c>
      <c r="R31" s="4">
        <f>+'202401anual'!H79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-9371993388.9640045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+'202401anual'!D81</f>
        <v>26796512.592504274</v>
      </c>
      <c r="G35" s="4">
        <f>27167981-[4]Resultados2023!$C$130-4802535</f>
        <v>22015542</v>
      </c>
      <c r="H35" s="4">
        <f t="shared" si="28"/>
        <v>4780970.5925042741</v>
      </c>
      <c r="I35" s="4">
        <f>+'202401anual'!E81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+'202401anual'!F81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+'202401anual'!G81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+'202401anual'!H81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900000</v>
      </c>
      <c r="J38" s="4">
        <f>+[2]EjecucionPptalPasiva!$Q$276</f>
        <v>794000</v>
      </c>
      <c r="K38" s="4">
        <f t="shared" si="37"/>
        <v>106000</v>
      </c>
      <c r="L38" s="4">
        <f>+'202401anual'!F85</f>
        <v>900000</v>
      </c>
      <c r="M38" s="4">
        <f>+[1]EjecucionPptalPasiva!$Q$276</f>
        <v>794000</v>
      </c>
      <c r="N38" s="4">
        <f t="shared" si="38"/>
        <v>106000</v>
      </c>
      <c r="O38" s="4">
        <f>+'202401anual'!G85</f>
        <v>900000</v>
      </c>
      <c r="P38" s="4">
        <v>794000</v>
      </c>
      <c r="Q38" s="4">
        <f t="shared" si="39"/>
        <v>106000</v>
      </c>
      <c r="R38" s="4">
        <f>+'202401anual'!H85</f>
        <v>900000</v>
      </c>
      <c r="S38" s="4"/>
      <c r="T38" s="4">
        <f t="shared" si="40"/>
        <v>900000</v>
      </c>
      <c r="U38" s="4"/>
      <c r="V38" s="4"/>
      <c r="W38" s="4"/>
      <c r="X38" s="4"/>
      <c r="Y38" s="4"/>
      <c r="Z38" s="4"/>
      <c r="AA38" s="4">
        <f t="shared" si="41"/>
        <v>5260000</v>
      </c>
      <c r="AB38" s="4">
        <f t="shared" si="41"/>
        <v>3970000</v>
      </c>
      <c r="AC38" s="4">
        <f t="shared" si="42"/>
        <v>1290000</v>
      </c>
      <c r="AD38" s="43">
        <f t="shared" si="43"/>
        <v>24.524714828897338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+[2]EjecucionPptalPasiva!$Q$289+[2]EjecucionPptalPasiva!$Q$294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+[1]EjecucionPptalPasiva!$Q$289+[1]EjecucionPptalPasiva!$Q$294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3000000</v>
      </c>
      <c r="J42" s="4"/>
      <c r="K42" s="4">
        <f t="shared" si="37"/>
        <v>3000000</v>
      </c>
      <c r="L42" s="4">
        <f>+'202401anual'!F89</f>
        <v>3500000</v>
      </c>
      <c r="M42" s="4">
        <v>0</v>
      </c>
      <c r="N42" s="4">
        <f t="shared" si="38"/>
        <v>3500000</v>
      </c>
      <c r="O42" s="4">
        <f>+'202401anual'!G89</f>
        <v>3500000</v>
      </c>
      <c r="P42" s="4">
        <v>0</v>
      </c>
      <c r="Q42" s="4">
        <f t="shared" si="39"/>
        <v>3500000</v>
      </c>
      <c r="R42" s="4">
        <f>+'202401anual'!H89</f>
        <v>3500000</v>
      </c>
      <c r="S42" s="4"/>
      <c r="T42" s="4">
        <f t="shared" si="40"/>
        <v>3500000</v>
      </c>
      <c r="U42" s="4"/>
      <c r="V42" s="4"/>
      <c r="W42" s="4"/>
      <c r="X42" s="4"/>
      <c r="Y42" s="4"/>
      <c r="Z42" s="4"/>
      <c r="AA42" s="4">
        <f t="shared" si="41"/>
        <v>13500000</v>
      </c>
      <c r="AB42" s="4">
        <f t="shared" si="41"/>
        <v>3450000</v>
      </c>
      <c r="AC42" s="4">
        <f t="shared" si="42"/>
        <v>10050000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5465000</v>
      </c>
      <c r="J43" s="4">
        <f>+[2]EjecucionPptalPasiva!$Q$290+[2]EjecucionPptalPasiva!$Q$295</f>
        <v>2694465</v>
      </c>
      <c r="K43" s="4">
        <f t="shared" si="37"/>
        <v>2770535</v>
      </c>
      <c r="L43" s="4">
        <f>+'202401anual'!F90</f>
        <v>5465000</v>
      </c>
      <c r="M43" s="4">
        <f>+[1]EjecucionPptalPasiva!$Q$290+[1]EjecucionPptalPasiva!$Q$295</f>
        <v>2686418</v>
      </c>
      <c r="N43" s="4">
        <f t="shared" si="38"/>
        <v>2778582</v>
      </c>
      <c r="O43" s="4">
        <f>+'202401anual'!G90</f>
        <v>5465000</v>
      </c>
      <c r="P43" s="4">
        <v>2813343.24</v>
      </c>
      <c r="Q43" s="4">
        <f t="shared" si="39"/>
        <v>2651656.7599999998</v>
      </c>
      <c r="R43" s="4">
        <f>+'202401anual'!H90</f>
        <v>5465000</v>
      </c>
      <c r="S43" s="4"/>
      <c r="T43" s="4">
        <f t="shared" si="40"/>
        <v>5465000</v>
      </c>
      <c r="U43" s="4"/>
      <c r="V43" s="4"/>
      <c r="W43" s="4"/>
      <c r="X43" s="4"/>
      <c r="Y43" s="4"/>
      <c r="Z43" s="4"/>
      <c r="AA43" s="4">
        <f t="shared" si="41"/>
        <v>33085000</v>
      </c>
      <c r="AB43" s="4">
        <f t="shared" si="41"/>
        <v>12953215.24</v>
      </c>
      <c r="AC43" s="4">
        <f t="shared" si="42"/>
        <v>20131784.759999998</v>
      </c>
      <c r="AD43" s="43">
        <f t="shared" si="43"/>
        <v>60.848676923076916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+[1]EjecucionPptalPasiva!$O$228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+[1]EjecucionPptalPasiva!$O$234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15863500</v>
      </c>
      <c r="J47" s="4"/>
      <c r="K47" s="4">
        <f t="shared" si="37"/>
        <v>15863500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428500</v>
      </c>
      <c r="P47" s="4">
        <f>1341600+382141.97-2695000+10110500</f>
        <v>9139241.9700000007</v>
      </c>
      <c r="Q47" s="4">
        <f t="shared" si="39"/>
        <v>-8710741.9700000007</v>
      </c>
      <c r="R47" s="4">
        <f>+'202401anual'!H94</f>
        <v>428500</v>
      </c>
      <c r="S47" s="4"/>
      <c r="T47" s="4">
        <f t="shared" si="40"/>
        <v>428500</v>
      </c>
      <c r="U47" s="4"/>
      <c r="V47" s="4"/>
      <c r="W47" s="4"/>
      <c r="X47" s="4"/>
      <c r="Y47" s="4"/>
      <c r="Z47" s="4"/>
      <c r="AA47" s="4">
        <f t="shared" si="41"/>
        <v>18499000</v>
      </c>
      <c r="AB47" s="4">
        <f t="shared" si="41"/>
        <v>9139241.9700000007</v>
      </c>
      <c r="AC47" s="4">
        <f t="shared" si="42"/>
        <v>9359758.0299999993</v>
      </c>
      <c r="AD47" s="43">
        <f t="shared" si="43"/>
        <v>50.596021568733441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+[2]EjecucionPptalPasiva!$Q$285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+[1]EjecucionPptalPasiva!$Q$285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13000000</v>
      </c>
      <c r="P49" s="4">
        <v>527000</v>
      </c>
      <c r="Q49" s="4">
        <f t="shared" si="39"/>
        <v>12473000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39000000</v>
      </c>
      <c r="AB49" s="4">
        <f t="shared" si="41"/>
        <v>527000</v>
      </c>
      <c r="AC49" s="4">
        <f t="shared" si="42"/>
        <v>38473000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+[1]EjecucionPptalPasiva!$Q$399</f>
        <v>1400000</v>
      </c>
      <c r="N55" s="4">
        <f t="shared" si="38"/>
        <v>6808393.166666667</v>
      </c>
      <c r="O55" s="4">
        <f>+'202401anual'!G104</f>
        <v>8208393.166666667</v>
      </c>
      <c r="P55" s="4">
        <v>0</v>
      </c>
      <c r="Q55" s="4">
        <f t="shared" si="39"/>
        <v>8208393.166666667</v>
      </c>
      <c r="R55" s="4">
        <f>+'202401anual'!H104</f>
        <v>8208393.166666667</v>
      </c>
      <c r="S55" s="4"/>
      <c r="T55" s="4">
        <f t="shared" si="40"/>
        <v>8208393.166666667</v>
      </c>
      <c r="U55" s="4"/>
      <c r="V55" s="4"/>
      <c r="W55" s="4"/>
      <c r="X55" s="4"/>
      <c r="Y55" s="4"/>
      <c r="Z55" s="4"/>
      <c r="AA55" s="4">
        <f t="shared" si="41"/>
        <v>42741965.833333336</v>
      </c>
      <c r="AB55" s="4">
        <f t="shared" si="41"/>
        <v>1400000</v>
      </c>
      <c r="AC55" s="4">
        <f t="shared" si="42"/>
        <v>41341965.833333336</v>
      </c>
      <c r="AD55" s="43">
        <f t="shared" si="43"/>
        <v>96.724530627676046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500000</v>
      </c>
      <c r="P56" s="4">
        <v>0</v>
      </c>
      <c r="Q56" s="4">
        <f t="shared" si="39"/>
        <v>500000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2500000</v>
      </c>
      <c r="AB56" s="4">
        <f t="shared" si="41"/>
        <v>0</v>
      </c>
      <c r="AC56" s="4">
        <f t="shared" si="42"/>
        <v>2500000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+[2]EjecucionPptalPasiva!$Q$287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0</v>
      </c>
      <c r="P57" s="4">
        <v>0</v>
      </c>
      <c r="Q57" s="4">
        <f t="shared" si="39"/>
        <v>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1090000</v>
      </c>
      <c r="AB57" s="4">
        <f t="shared" si="41"/>
        <v>1070000</v>
      </c>
      <c r="AC57" s="4">
        <f t="shared" si="42"/>
        <v>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3000000</v>
      </c>
      <c r="M58" s="4">
        <v>0</v>
      </c>
      <c r="N58" s="4">
        <f t="shared" si="38"/>
        <v>3000000</v>
      </c>
      <c r="O58" s="4">
        <f>+'202401anual'!G107</f>
        <v>3000000</v>
      </c>
      <c r="P58" s="4">
        <v>0</v>
      </c>
      <c r="Q58" s="4">
        <f t="shared" si="39"/>
        <v>3000000</v>
      </c>
      <c r="R58" s="4">
        <f>+'202401anual'!H107</f>
        <v>3000000</v>
      </c>
      <c r="S58" s="4"/>
      <c r="T58" s="4">
        <f t="shared" si="40"/>
        <v>3000000</v>
      </c>
      <c r="U58" s="4"/>
      <c r="V58" s="4"/>
      <c r="W58" s="4"/>
      <c r="X58" s="4"/>
      <c r="Y58" s="4"/>
      <c r="Z58" s="4"/>
      <c r="AA58" s="4">
        <f t="shared" si="41"/>
        <v>11000000</v>
      </c>
      <c r="AB58" s="4">
        <f t="shared" si="41"/>
        <v>0</v>
      </c>
      <c r="AC58" s="4">
        <f t="shared" si="42"/>
        <v>11000000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+[2]EjecucionPptalPasiva!$Q$281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+[1]EjecucionPptalPasiva!$Q$281</f>
        <v>5109000</v>
      </c>
      <c r="N61" s="4">
        <f t="shared" si="38"/>
        <v>-1609000</v>
      </c>
      <c r="O61" s="4">
        <f>+'202401anual'!G110</f>
        <v>3500000</v>
      </c>
      <c r="P61" s="4">
        <v>5730000</v>
      </c>
      <c r="Q61" s="4">
        <f t="shared" si="39"/>
        <v>-2230000</v>
      </c>
      <c r="R61" s="4">
        <f>+'202401anual'!H110</f>
        <v>3500000</v>
      </c>
      <c r="S61" s="4"/>
      <c r="T61" s="4">
        <f t="shared" si="40"/>
        <v>3500000</v>
      </c>
      <c r="U61" s="4"/>
      <c r="V61" s="4"/>
      <c r="W61" s="4"/>
      <c r="X61" s="4"/>
      <c r="Y61" s="4"/>
      <c r="Z61" s="4"/>
      <c r="AA61" s="4">
        <f t="shared" si="41"/>
        <v>14100000</v>
      </c>
      <c r="AB61" s="4">
        <f t="shared" si="41"/>
        <v>12102000</v>
      </c>
      <c r="AC61" s="4">
        <f t="shared" si="42"/>
        <v>1998000</v>
      </c>
      <c r="AD61" s="43">
        <f t="shared" si="43"/>
        <v>14.170212765957446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0</v>
      </c>
      <c r="P64" s="4">
        <v>0</v>
      </c>
      <c r="Q64" s="4">
        <f t="shared" si="39"/>
        <v>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3850000</v>
      </c>
      <c r="AB64" s="4">
        <f t="shared" si="41"/>
        <v>2112800</v>
      </c>
      <c r="AC64" s="4">
        <f t="shared" si="42"/>
        <v>1737200</v>
      </c>
      <c r="AD64" s="43">
        <f t="shared" si="43"/>
        <v>45.122077922077928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0</v>
      </c>
      <c r="P65" s="4">
        <v>0</v>
      </c>
      <c r="Q65" s="4">
        <f t="shared" si="39"/>
        <v>0</v>
      </c>
      <c r="R65" s="4">
        <f>+'202401anual'!H112</f>
        <v>7044000</v>
      </c>
      <c r="S65" s="4"/>
      <c r="T65" s="4">
        <f t="shared" si="40"/>
        <v>7044000</v>
      </c>
      <c r="U65" s="4"/>
      <c r="V65" s="4"/>
      <c r="W65" s="4"/>
      <c r="X65" s="4"/>
      <c r="Y65" s="4"/>
      <c r="Z65" s="4"/>
      <c r="AA65" s="4">
        <f t="shared" si="41"/>
        <v>16132000</v>
      </c>
      <c r="AB65" s="4">
        <f t="shared" si="41"/>
        <v>4397940.8</v>
      </c>
      <c r="AC65" s="4">
        <f t="shared" si="42"/>
        <v>11734059.199999999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1500000</v>
      </c>
      <c r="J67" s="4">
        <f>+[2]EjecucionPptalPasiva!$Q$398</f>
        <v>1686820</v>
      </c>
      <c r="K67" s="4">
        <f t="shared" si="37"/>
        <v>-186820</v>
      </c>
      <c r="L67" s="4">
        <f>+'202401anual'!F114</f>
        <v>1500000</v>
      </c>
      <c r="M67" s="4">
        <f>+[1]EjecucionPptalPasiva!$Q$398</f>
        <v>705004</v>
      </c>
      <c r="N67" s="4">
        <f t="shared" si="38"/>
        <v>794996</v>
      </c>
      <c r="O67" s="4">
        <f>+'202401anual'!G114</f>
        <v>1500000</v>
      </c>
      <c r="P67" s="4">
        <f>102312+708000</f>
        <v>810312</v>
      </c>
      <c r="Q67" s="4">
        <f t="shared" si="39"/>
        <v>689688</v>
      </c>
      <c r="R67" s="4">
        <f>+'202401anual'!H114</f>
        <v>1500000</v>
      </c>
      <c r="S67" s="4"/>
      <c r="T67" s="4">
        <f t="shared" si="40"/>
        <v>1500000</v>
      </c>
      <c r="U67" s="4"/>
      <c r="V67" s="4"/>
      <c r="W67" s="4"/>
      <c r="X67" s="4"/>
      <c r="Y67" s="4"/>
      <c r="Z67" s="4"/>
      <c r="AA67" s="4">
        <f t="shared" si="41"/>
        <v>9000000</v>
      </c>
      <c r="AB67" s="4">
        <f t="shared" si="41"/>
        <v>7406904</v>
      </c>
      <c r="AC67" s="4">
        <f t="shared" si="42"/>
        <v>1593096</v>
      </c>
      <c r="AD67" s="43">
        <f t="shared" si="43"/>
        <v>17.701066666666669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+[2]EjecucionPptalPasiva!$Q$275+[2]EjecucionPptalPasiva!$Q$282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+[1]EjecucionPptalPasiva!$Q$275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15930000</v>
      </c>
      <c r="J70" s="4"/>
      <c r="K70" s="4">
        <f t="shared" si="37"/>
        <v>15930000</v>
      </c>
      <c r="L70" s="4">
        <f>+'202401anual'!F118</f>
        <v>15930000</v>
      </c>
      <c r="M70" s="4">
        <v>0</v>
      </c>
      <c r="N70" s="4">
        <f t="shared" si="38"/>
        <v>15930000</v>
      </c>
      <c r="O70" s="4">
        <f>+'202401anual'!G118</f>
        <v>15930000</v>
      </c>
      <c r="P70" s="4">
        <v>0</v>
      </c>
      <c r="Q70" s="4">
        <f t="shared" si="39"/>
        <v>15930000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79650000</v>
      </c>
      <c r="AB70" s="4">
        <f t="shared" si="41"/>
        <v>0</v>
      </c>
      <c r="AC70" s="4">
        <f t="shared" si="42"/>
        <v>79650000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2000000</v>
      </c>
      <c r="M71" s="4">
        <v>0</v>
      </c>
      <c r="N71" s="4">
        <f t="shared" si="38"/>
        <v>2000000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2000000</v>
      </c>
      <c r="AB71" s="4">
        <f t="shared" si="41"/>
        <v>0</v>
      </c>
      <c r="AC71" s="4">
        <f t="shared" si="42"/>
        <v>2000000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6000000</v>
      </c>
      <c r="J72" s="4">
        <f>+[2]EjecucionPptalPasiva!$Q$284</f>
        <v>7994800</v>
      </c>
      <c r="K72" s="4">
        <f t="shared" si="37"/>
        <v>-1994800</v>
      </c>
      <c r="L72" s="4">
        <f>+'202401anual'!F120</f>
        <v>6000000</v>
      </c>
      <c r="M72" s="4">
        <f>+[1]EjecucionPptalPasiva!$Q$284</f>
        <v>5451000</v>
      </c>
      <c r="N72" s="4">
        <f t="shared" si="38"/>
        <v>549000</v>
      </c>
      <c r="O72" s="4">
        <f>+'202401anual'!G120</f>
        <v>6000000</v>
      </c>
      <c r="P72" s="4">
        <v>5451000</v>
      </c>
      <c r="Q72" s="4">
        <f t="shared" si="39"/>
        <v>549000</v>
      </c>
      <c r="R72" s="4">
        <f>+'202401anual'!H120</f>
        <v>6000000</v>
      </c>
      <c r="S72" s="4"/>
      <c r="T72" s="4">
        <f t="shared" si="40"/>
        <v>6000000</v>
      </c>
      <c r="U72" s="4"/>
      <c r="V72" s="4"/>
      <c r="W72" s="4"/>
      <c r="X72" s="4"/>
      <c r="Y72" s="4"/>
      <c r="Z72" s="4"/>
      <c r="AA72" s="4">
        <f t="shared" si="41"/>
        <v>35400000</v>
      </c>
      <c r="AB72" s="4">
        <f t="shared" si="41"/>
        <v>27073300</v>
      </c>
      <c r="AC72" s="4">
        <f t="shared" si="42"/>
        <v>8326700</v>
      </c>
      <c r="AD72" s="43">
        <f t="shared" si="43"/>
        <v>23.521751412429378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+[2]EjecucionPptalPasiva!$Q$278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982500</v>
      </c>
      <c r="P73" s="4">
        <v>0</v>
      </c>
      <c r="Q73" s="4">
        <f t="shared" si="39"/>
        <v>982500</v>
      </c>
      <c r="R73" s="4">
        <f>+'202401anual'!H131</f>
        <v>982500</v>
      </c>
      <c r="S73" s="4"/>
      <c r="T73" s="4">
        <f t="shared" si="40"/>
        <v>982500</v>
      </c>
      <c r="U73" s="4"/>
      <c r="V73" s="4"/>
      <c r="W73" s="4"/>
      <c r="X73" s="4"/>
      <c r="Y73" s="4"/>
      <c r="Z73" s="4"/>
      <c r="AA73" s="4">
        <f t="shared" si="41"/>
        <v>6230000</v>
      </c>
      <c r="AB73" s="4">
        <f t="shared" si="41"/>
        <v>602000</v>
      </c>
      <c r="AC73" s="4">
        <f t="shared" si="42"/>
        <v>5628000</v>
      </c>
      <c r="AD73" s="43">
        <f t="shared" si="43"/>
        <v>90.337078651685403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2000000</v>
      </c>
      <c r="P74" s="4">
        <v>0</v>
      </c>
      <c r="Q74" s="4">
        <f t="shared" si="39"/>
        <v>2000000</v>
      </c>
      <c r="R74" s="4">
        <f>+'202401anual'!H132</f>
        <v>2000000</v>
      </c>
      <c r="S74" s="4"/>
      <c r="T74" s="4">
        <f t="shared" si="40"/>
        <v>2000000</v>
      </c>
      <c r="U74" s="4"/>
      <c r="V74" s="4"/>
      <c r="W74" s="4"/>
      <c r="X74" s="4"/>
      <c r="Y74" s="4"/>
      <c r="Z74" s="4"/>
      <c r="AA74" s="4">
        <f t="shared" si="41"/>
        <v>7000000</v>
      </c>
      <c r="AB74" s="4">
        <f t="shared" si="41"/>
        <v>0</v>
      </c>
      <c r="AC74" s="4">
        <f t="shared" si="42"/>
        <v>7000000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+[2]EjecucionPptalPasiva!$Q$279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+[2]EjecucionPptalPasiva!$Q$231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+[1]EjecucionPptalPasiva!$O$231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+[1]EjecucionPptalPasiva!$Q$298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3500000</v>
      </c>
      <c r="J79" s="4"/>
      <c r="K79" s="4">
        <f t="shared" si="37"/>
        <v>3500000</v>
      </c>
      <c r="L79" s="4">
        <f>+'202401anual'!F135</f>
        <v>3500000</v>
      </c>
      <c r="M79" s="4">
        <v>0</v>
      </c>
      <c r="N79" s="4">
        <f t="shared" si="38"/>
        <v>3500000</v>
      </c>
      <c r="O79" s="4">
        <f>+'202401anual'!G135</f>
        <v>3500000</v>
      </c>
      <c r="P79" s="4">
        <v>0</v>
      </c>
      <c r="Q79" s="4">
        <f t="shared" si="39"/>
        <v>3500000</v>
      </c>
      <c r="R79" s="4">
        <f>+'202401anual'!H135</f>
        <v>3500000</v>
      </c>
      <c r="S79" s="4"/>
      <c r="T79" s="4">
        <f t="shared" si="40"/>
        <v>3500000</v>
      </c>
      <c r="U79" s="4"/>
      <c r="V79" s="4"/>
      <c r="W79" s="4"/>
      <c r="X79" s="4"/>
      <c r="Y79" s="4"/>
      <c r="Z79" s="4"/>
      <c r="AA79" s="4">
        <f t="shared" si="41"/>
        <v>20500000</v>
      </c>
      <c r="AB79" s="4">
        <f t="shared" si="41"/>
        <v>0</v>
      </c>
      <c r="AC79" s="4">
        <f t="shared" si="42"/>
        <v>20500000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0</v>
      </c>
      <c r="S80" s="4"/>
      <c r="T80" s="4">
        <f t="shared" si="40"/>
        <v>0</v>
      </c>
      <c r="U80" s="4"/>
      <c r="V80" s="4"/>
      <c r="W80" s="4"/>
      <c r="X80" s="4"/>
      <c r="Y80" s="4"/>
      <c r="Z80" s="4"/>
      <c r="AA80" s="4">
        <f t="shared" si="41"/>
        <v>6000000</v>
      </c>
      <c r="AB80" s="4">
        <f t="shared" si="41"/>
        <v>0</v>
      </c>
      <c r="AC80" s="4">
        <f t="shared" si="42"/>
        <v>6000000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63728000</v>
      </c>
      <c r="J86" s="4">
        <v>53576000</v>
      </c>
      <c r="K86" s="4">
        <f t="shared" si="37"/>
        <v>10152000</v>
      </c>
      <c r="L86" s="4">
        <f>+'202401anual'!F142</f>
        <v>63728000</v>
      </c>
      <c r="M86" s="4">
        <v>53576000</v>
      </c>
      <c r="N86" s="4">
        <f t="shared" si="38"/>
        <v>10152000</v>
      </c>
      <c r="O86" s="4">
        <f>+'202401anual'!G142</f>
        <v>63728000</v>
      </c>
      <c r="P86" s="4">
        <v>53576000</v>
      </c>
      <c r="Q86" s="4">
        <f t="shared" si="39"/>
        <v>10152000</v>
      </c>
      <c r="R86" s="4">
        <f>+'202401anual'!H142</f>
        <v>63728000</v>
      </c>
      <c r="S86" s="4"/>
      <c r="T86" s="4">
        <f t="shared" si="40"/>
        <v>63728000</v>
      </c>
      <c r="U86" s="4"/>
      <c r="V86" s="4"/>
      <c r="W86" s="4"/>
      <c r="X86" s="4"/>
      <c r="Y86" s="4"/>
      <c r="Z86" s="4"/>
      <c r="AA86" s="4">
        <f t="shared" si="41"/>
        <v>377735000</v>
      </c>
      <c r="AB86" s="4">
        <f t="shared" si="41"/>
        <v>267880000</v>
      </c>
      <c r="AC86" s="4">
        <f t="shared" si="42"/>
        <v>109855000</v>
      </c>
      <c r="AD86" s="43">
        <f t="shared" si="43"/>
        <v>29.082557877877345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-8929180132.295948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57"/>
  <sheetViews>
    <sheetView showGridLines="0" zoomScale="86" zoomScaleNormal="86" workbookViewId="0">
      <pane xSplit="2" ySplit="5" topLeftCell="C6" activePane="bottomRight" state="frozen"/>
      <selection activeCell="F87" sqref="F87"/>
      <selection pane="topRight" activeCell="F87" sqref="F87"/>
      <selection pane="bottomLeft" activeCell="F87" sqref="F87"/>
      <selection pane="bottomRight" activeCell="E18" sqref="E18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customWidth="1"/>
    <col min="5" max="5" width="16.7109375" customWidth="1"/>
    <col min="6" max="7" width="16.140625" customWidth="1"/>
    <col min="8" max="8" width="16.7109375" customWidth="1"/>
    <col min="9" max="9" width="17.85546875" customWidth="1"/>
    <col min="10" max="13" width="16.7109375" customWidth="1"/>
    <col min="14" max="14" width="16.140625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5.85546875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86" t="s">
        <v>51</v>
      </c>
      <c r="B1" s="86"/>
      <c r="C1" s="86"/>
    </row>
    <row r="2" spans="1:20" x14ac:dyDescent="0.25">
      <c r="A2" s="14"/>
      <c r="B2" s="14"/>
      <c r="C2" s="14"/>
    </row>
    <row r="3" spans="1:20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 Hoja de W'!K5</f>
        <v>23497414.696837816</v>
      </c>
      <c r="D6" s="4">
        <f>+'[7]Planeación 2024 P&amp;K Hoja de W'!L5</f>
        <v>23497414.696837816</v>
      </c>
      <c r="E6" s="4">
        <f>+'[7]Planeación 2024 P&amp;K Hoja de W'!M5</f>
        <v>23497414.696837816</v>
      </c>
      <c r="F6" s="4">
        <f>+'[7]Planeación 2024 P&amp;K Hoja de W'!N5</f>
        <v>23497414.696837816</v>
      </c>
      <c r="G6" s="4">
        <f>+'[7]Planeación 2024 P&amp;K Hoja de W'!O5</f>
        <v>23497414.696837816</v>
      </c>
      <c r="H6" s="4">
        <f>+'[7]Planeación 2024 P&amp;K Hoja de W'!P5</f>
        <v>23497414.696837816</v>
      </c>
      <c r="I6" s="4">
        <f>+'[7]Planeación 2024 P&amp;K Hoja de W'!Q5</f>
        <v>23497414.696837816</v>
      </c>
      <c r="J6" s="4">
        <f>+'[7]Planeación 2024 P&amp;K Hoja de W'!R5</f>
        <v>24359387.483510818</v>
      </c>
      <c r="K6" s="4">
        <f>+'[7]Planeación 2024 P&amp;K Hoja de W'!S5</f>
        <v>24359387.483510818</v>
      </c>
      <c r="L6" s="4">
        <f>+'[7]Planeación 2024 P&amp;K Hoja de W'!T5</f>
        <v>24359387.483510818</v>
      </c>
      <c r="M6" s="4">
        <f>+'[7]Planeación 2024 P&amp;K Hoja de W'!U5</f>
        <v>24359387.483510818</v>
      </c>
      <c r="N6" s="4">
        <f>+'[7]Planeación 2024 P&amp;K Hoja de W'!V5</f>
        <v>24359387.483510818</v>
      </c>
      <c r="O6" s="4">
        <f>SUM(C6:N6)</f>
        <v>286278840.2954188</v>
      </c>
      <c r="P6" s="34">
        <f>+O6-B6</f>
        <v>0</v>
      </c>
      <c r="Q6" s="34"/>
      <c r="R6" s="34"/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 Hoja de W'!K6</f>
        <v>69032447.25</v>
      </c>
      <c r="D7" s="4">
        <f>+'[7]Planeación 2024 P&amp;K Hoja de W'!L6</f>
        <v>69032447.25</v>
      </c>
      <c r="E7" s="4">
        <f>+'[7]Planeación 2024 P&amp;K Hoja de W'!M6</f>
        <v>69032447.25</v>
      </c>
      <c r="F7" s="4">
        <f>+'[7]Planeación 2024 P&amp;K Hoja de W'!N6</f>
        <v>69032447.25</v>
      </c>
      <c r="G7" s="4">
        <f>+'[7]Planeación 2024 P&amp;K Hoja de W'!O6</f>
        <v>69032447.25</v>
      </c>
      <c r="H7" s="4">
        <f>+'[7]Planeación 2024 P&amp;K Hoja de W'!P6</f>
        <v>69032447.25</v>
      </c>
      <c r="I7" s="4">
        <f>+'[7]Planeación 2024 P&amp;K Hoja de W'!Q6</f>
        <v>69032447.25</v>
      </c>
      <c r="J7" s="4">
        <f>+'[7]Planeación 2024 P&amp;K Hoja de W'!R6</f>
        <v>71564814.81871587</v>
      </c>
      <c r="K7" s="4">
        <f>+'[7]Planeación 2024 P&amp;K Hoja de W'!S6</f>
        <v>71564814.81871587</v>
      </c>
      <c r="L7" s="4">
        <f>+'[7]Planeación 2024 P&amp;K Hoja de W'!T6</f>
        <v>71564814.81871587</v>
      </c>
      <c r="M7" s="4">
        <f>+'[7]Planeación 2024 P&amp;K Hoja de W'!U6</f>
        <v>71564814.81871587</v>
      </c>
      <c r="N7" s="4">
        <f>+'[7]Planeación 2024 P&amp;K Hoja de W'!V6</f>
        <v>71564814.81871587</v>
      </c>
      <c r="O7" s="4">
        <f t="shared" ref="O7:O13" si="0">SUM(C7:N7)</f>
        <v>841051204.84357905</v>
      </c>
      <c r="P7" s="34">
        <f t="shared" ref="P7:P70" si="1">+O7-B7</f>
        <v>0</v>
      </c>
      <c r="Q7" s="34"/>
      <c r="R7" s="34"/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 Hoja de W'!K7</f>
        <v>1500000</v>
      </c>
      <c r="D8" s="4">
        <f>+'[7]Planeación 2024 P&amp;K Hoja de W'!L7</f>
        <v>1500000</v>
      </c>
      <c r="E8" s="4">
        <f>+'[7]Planeación 2024 P&amp;K Hoja de W'!M7</f>
        <v>1500000</v>
      </c>
      <c r="F8" s="4">
        <f>+'[7]Planeación 2024 P&amp;K Hoja de W'!N7</f>
        <v>1500000</v>
      </c>
      <c r="G8" s="4">
        <f>+'[7]Planeación 2024 P&amp;K Hoja de W'!O7</f>
        <v>1500000</v>
      </c>
      <c r="H8" s="4">
        <f>+'[7]Planeación 2024 P&amp;K Hoja de W'!P7</f>
        <v>1500000</v>
      </c>
      <c r="I8" s="4">
        <f>+'[7]Planeación 2024 P&amp;K Hoja de W'!Q7</f>
        <v>1500000</v>
      </c>
      <c r="J8" s="4">
        <f>+'[7]Planeación 2024 P&amp;K Hoja de W'!R7</f>
        <v>1500000</v>
      </c>
      <c r="K8" s="4">
        <f>+'[7]Planeación 2024 P&amp;K Hoja de W'!S7</f>
        <v>1500000</v>
      </c>
      <c r="L8" s="4">
        <f>+'[7]Planeación 2024 P&amp;K Hoja de W'!T7</f>
        <v>1500000</v>
      </c>
      <c r="M8" s="4">
        <f>+'[7]Planeación 2024 P&amp;K Hoja de W'!U7</f>
        <v>1500000</v>
      </c>
      <c r="N8" s="4">
        <f>+'[7]Planeación 2024 P&amp;K Hoja de W'!V7</f>
        <v>1500000</v>
      </c>
      <c r="O8" s="4">
        <f t="shared" si="0"/>
        <v>18000000</v>
      </c>
      <c r="P8" s="34">
        <f t="shared" si="1"/>
        <v>0</v>
      </c>
      <c r="Q8" s="34"/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 Hoja de W'!K8</f>
        <v>66000</v>
      </c>
      <c r="D9" s="4">
        <f>+'[7]Planeación 2024 P&amp;K Hoja de W'!L8</f>
        <v>66000</v>
      </c>
      <c r="E9" s="4">
        <f>+'[7]Planeación 2024 P&amp;K Hoja de W'!M8</f>
        <v>66000</v>
      </c>
      <c r="F9" s="4">
        <f>+'[7]Planeación 2024 P&amp;K Hoja de W'!N8</f>
        <v>66000</v>
      </c>
      <c r="G9" s="4">
        <f>+'[7]Planeación 2024 P&amp;K Hoja de W'!O8</f>
        <v>66000</v>
      </c>
      <c r="H9" s="4">
        <f>+'[7]Planeación 2024 P&amp;K Hoja de W'!P8</f>
        <v>66000</v>
      </c>
      <c r="I9" s="4">
        <f>+'[7]Planeación 2024 P&amp;K Hoja de W'!Q8</f>
        <v>66000</v>
      </c>
      <c r="J9" s="4">
        <f>+'[7]Planeación 2024 P&amp;K Hoja de W'!R8</f>
        <v>66000</v>
      </c>
      <c r="K9" s="4">
        <f>+'[7]Planeación 2024 P&amp;K Hoja de W'!S8</f>
        <v>66000</v>
      </c>
      <c r="L9" s="4">
        <f>+'[7]Planeación 2024 P&amp;K Hoja de W'!T8</f>
        <v>66000</v>
      </c>
      <c r="M9" s="4">
        <f>+'[7]Planeación 2024 P&amp;K Hoja de W'!U8</f>
        <v>66000</v>
      </c>
      <c r="N9" s="4">
        <f>+'[7]Planeación 2024 P&amp;K Hoja de W'!V8</f>
        <v>66000</v>
      </c>
      <c r="O9" s="4">
        <f t="shared" si="0"/>
        <v>792000</v>
      </c>
      <c r="P9" s="34">
        <f t="shared" si="1"/>
        <v>0</v>
      </c>
      <c r="Q9" s="34"/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 Hoja de W'!K9</f>
        <v>80662092.893341199</v>
      </c>
      <c r="D10" s="4">
        <f>+'[7]Planeación 2024 P&amp;K Hoja de W'!L9</f>
        <v>87150663.773341209</v>
      </c>
      <c r="E10" s="4">
        <f>+'[7]Planeación 2024 P&amp;K Hoja de W'!M9</f>
        <v>93639234.653341204</v>
      </c>
      <c r="F10" s="4">
        <f>+'[7]Planeación 2024 P&amp;K Hoja de W'!N9</f>
        <v>100127805.5333412</v>
      </c>
      <c r="G10" s="4">
        <f>+'[7]Planeación 2024 P&amp;K Hoja de W'!O9</f>
        <v>106616376.41334119</v>
      </c>
      <c r="H10" s="4">
        <f>+'[7]Planeación 2024 P&amp;K Hoja de W'!P9</f>
        <v>113104947.2933412</v>
      </c>
      <c r="I10" s="4">
        <f>+'[7]Planeación 2024 P&amp;K Hoja de W'!Q9</f>
        <v>119593518.1733412</v>
      </c>
      <c r="J10" s="4">
        <f>+'[7]Planeación 2024 P&amp;K Hoja de W'!R9</f>
        <v>123980654.35227481</v>
      </c>
      <c r="K10" s="4">
        <f>+'[7]Planeación 2024 P&amp;K Hoja de W'!S9</f>
        <v>123980654.35227481</v>
      </c>
      <c r="L10" s="4">
        <f>+'[7]Planeación 2024 P&amp;K Hoja de W'!T9</f>
        <v>123980654.35227481</v>
      </c>
      <c r="M10" s="4">
        <f>+'[7]Planeación 2024 P&amp;K Hoja de W'!U9</f>
        <v>123980654.35227481</v>
      </c>
      <c r="N10" s="4">
        <f>+'[7]Planeación 2024 P&amp;K Hoja de W'!V9</f>
        <v>123980654.35227481</v>
      </c>
      <c r="O10" s="4">
        <f t="shared" si="0"/>
        <v>1320797910.4947624</v>
      </c>
      <c r="P10" s="34">
        <f t="shared" si="1"/>
        <v>0</v>
      </c>
      <c r="Q10" s="34"/>
      <c r="R10" s="34"/>
      <c r="S10" s="2"/>
      <c r="T10" s="2"/>
    </row>
    <row r="11" spans="1:20" x14ac:dyDescent="0.25">
      <c r="A11" s="5" t="str">
        <f>+'[7]Planeación 2024 P&amp;K Hoja de W'!$C$10</f>
        <v>Cargo fijo alcantarillado</v>
      </c>
      <c r="B11" s="4">
        <v>3454191.2229688521</v>
      </c>
      <c r="C11" s="4">
        <f>+'[7]Planeación 2024 P&amp;K Hoja de W'!K10</f>
        <v>283515.76220065932</v>
      </c>
      <c r="D11" s="4">
        <f>+'[7]Planeación 2024 P&amp;K Hoja de W'!L10</f>
        <v>283515.76220065932</v>
      </c>
      <c r="E11" s="4">
        <f>+'[7]Planeación 2024 P&amp;K Hoja de W'!M10</f>
        <v>283515.76220065932</v>
      </c>
      <c r="F11" s="4">
        <f>+'[7]Planeación 2024 P&amp;K Hoja de W'!N10</f>
        <v>283515.76220065932</v>
      </c>
      <c r="G11" s="4">
        <f>+'[7]Planeación 2024 P&amp;K Hoja de W'!O10</f>
        <v>283515.76220065932</v>
      </c>
      <c r="H11" s="4">
        <f>+'[7]Planeación 2024 P&amp;K Hoja de W'!P10</f>
        <v>283515.76220065932</v>
      </c>
      <c r="I11" s="4">
        <f>+'[7]Planeación 2024 P&amp;K Hoja de W'!Q10</f>
        <v>283515.76220065932</v>
      </c>
      <c r="J11" s="4">
        <f>+'[7]Planeación 2024 P&amp;K Hoja de W'!R10</f>
        <v>293916.17751284735</v>
      </c>
      <c r="K11" s="4">
        <f>+'[7]Planeación 2024 P&amp;K Hoja de W'!S10</f>
        <v>293916.17751284735</v>
      </c>
      <c r="L11" s="4">
        <f>+'[7]Planeación 2024 P&amp;K Hoja de W'!T10</f>
        <v>293916.17751284735</v>
      </c>
      <c r="M11" s="4">
        <f>+'[7]Planeación 2024 P&amp;K Hoja de W'!U10</f>
        <v>293916.17751284735</v>
      </c>
      <c r="N11" s="4">
        <f>+'[7]Planeación 2024 P&amp;K Hoja de W'!V10</f>
        <v>293916.17751284735</v>
      </c>
      <c r="O11" s="4">
        <f t="shared" si="0"/>
        <v>3454191.2229688521</v>
      </c>
      <c r="P11" s="34">
        <f t="shared" si="1"/>
        <v>0</v>
      </c>
      <c r="Q11" s="34"/>
      <c r="R11" s="34"/>
      <c r="S11" s="2"/>
      <c r="T11" s="2"/>
    </row>
    <row r="12" spans="1:20" x14ac:dyDescent="0.25">
      <c r="A12" s="5" t="str">
        <f>+'[7]Planeación 2024 P&amp;K Hoja de W'!$C$11</f>
        <v>Cargo variable alcantarillado</v>
      </c>
      <c r="B12" s="4">
        <v>5851039.1350167179</v>
      </c>
      <c r="C12" s="4">
        <f>+'[7]Planeación 2024 P&amp;K Hoja de W'!K11</f>
        <v>480246.0874196685</v>
      </c>
      <c r="D12" s="4">
        <f>+'[7]Planeación 2024 P&amp;K Hoja de W'!L11</f>
        <v>480246.0874196685</v>
      </c>
      <c r="E12" s="4">
        <f>+'[7]Planeación 2024 P&amp;K Hoja de W'!M11</f>
        <v>480246.0874196685</v>
      </c>
      <c r="F12" s="4">
        <f>+'[7]Planeación 2024 P&amp;K Hoja de W'!N11</f>
        <v>480246.0874196685</v>
      </c>
      <c r="G12" s="4">
        <f>+'[7]Planeación 2024 P&amp;K Hoja de W'!O11</f>
        <v>480246.0874196685</v>
      </c>
      <c r="H12" s="4">
        <f>+'[7]Planeación 2024 P&amp;K Hoja de W'!P11</f>
        <v>480246.0874196685</v>
      </c>
      <c r="I12" s="4">
        <f>+'[7]Planeación 2024 P&amp;K Hoja de W'!Q11</f>
        <v>480246.0874196685</v>
      </c>
      <c r="J12" s="4">
        <f>+'[7]Planeación 2024 P&amp;K Hoja de W'!R11</f>
        <v>497863.30461580743</v>
      </c>
      <c r="K12" s="4">
        <f>+'[7]Planeación 2024 P&amp;K Hoja de W'!S11</f>
        <v>497863.30461580743</v>
      </c>
      <c r="L12" s="4">
        <f>+'[7]Planeación 2024 P&amp;K Hoja de W'!T11</f>
        <v>497863.30461580743</v>
      </c>
      <c r="M12" s="4">
        <f>+'[7]Planeación 2024 P&amp;K Hoja de W'!U11</f>
        <v>497863.30461580743</v>
      </c>
      <c r="N12" s="4">
        <f>+'[7]Planeación 2024 P&amp;K Hoja de W'!V11</f>
        <v>497863.30461580743</v>
      </c>
      <c r="O12" s="4">
        <f t="shared" si="0"/>
        <v>5851039.1350167179</v>
      </c>
      <c r="P12" s="34">
        <f t="shared" si="1"/>
        <v>0</v>
      </c>
      <c r="Q12" s="34"/>
      <c r="R12" s="34"/>
      <c r="S12" s="2"/>
      <c r="T12" s="2"/>
    </row>
    <row r="13" spans="1:20" x14ac:dyDescent="0.25">
      <c r="A13" s="5" t="s">
        <v>130</v>
      </c>
      <c r="B13" s="4">
        <v>8387170083.3095598</v>
      </c>
      <c r="C13" s="4">
        <f>+'[7]Planeación 2024 P&amp;K Hoja de W'!K12</f>
        <v>0</v>
      </c>
      <c r="D13" s="4">
        <f>+'[7]Planeación 2024 P&amp;K Hoja de W'!L12</f>
        <v>0</v>
      </c>
      <c r="E13" s="4">
        <f>+'[7]Planeación 2024 P&amp;K Hoja de W'!M12</f>
        <v>2500000000</v>
      </c>
      <c r="F13" s="4">
        <f>+'[7]Planeación 2024 P&amp;K Hoja de W'!N12</f>
        <v>0</v>
      </c>
      <c r="G13" s="4">
        <f>+'[7]Planeación 2024 P&amp;K Hoja de W'!O12</f>
        <v>0</v>
      </c>
      <c r="H13" s="4">
        <f>+'[7]Planeación 2024 P&amp;K Hoja de W'!P12</f>
        <v>0</v>
      </c>
      <c r="I13" s="4">
        <f>+'[7]Planeación 2024 P&amp;K Hoja de W'!Q12</f>
        <v>5887170083.3095598</v>
      </c>
      <c r="J13" s="4">
        <f>+'[7]Planeación 2024 P&amp;K Hoja de W'!R12</f>
        <v>0</v>
      </c>
      <c r="K13" s="4">
        <f>+'[7]Planeación 2024 P&amp;K Hoja de W'!S12</f>
        <v>0</v>
      </c>
      <c r="L13" s="4">
        <f>+'[7]Planeación 2024 P&amp;K Hoja de W'!T12</f>
        <v>0</v>
      </c>
      <c r="M13" s="4">
        <f>+'[7]Planeación 2024 P&amp;K Hoja de W'!U12</f>
        <v>0</v>
      </c>
      <c r="N13" s="4">
        <f>+'[7]Planeación 2024 P&amp;K Hoja de W'!V12</f>
        <v>0</v>
      </c>
      <c r="O13" s="4">
        <f t="shared" si="0"/>
        <v>8387170083.3095598</v>
      </c>
      <c r="P13" s="34">
        <f t="shared" si="1"/>
        <v>0</v>
      </c>
      <c r="Q13" s="34"/>
      <c r="R13" s="34"/>
      <c r="S13" s="2"/>
      <c r="T13" s="2"/>
    </row>
    <row r="14" spans="1:20" ht="18.75" x14ac:dyDescent="0.3">
      <c r="A14" s="11" t="s">
        <v>2</v>
      </c>
      <c r="B14" s="7">
        <f>SUM(B6:B13)</f>
        <v>10863395269.301306</v>
      </c>
      <c r="C14" s="7">
        <f t="shared" ref="C14:N14" si="2">SUM(C6:C13)</f>
        <v>175521716.68979934</v>
      </c>
      <c r="D14" s="7">
        <f t="shared" si="2"/>
        <v>182010287.56979933</v>
      </c>
      <c r="E14" s="7">
        <f t="shared" si="2"/>
        <v>2688498858.4497995</v>
      </c>
      <c r="F14" s="7">
        <f t="shared" si="2"/>
        <v>194987429.32979932</v>
      </c>
      <c r="G14" s="7">
        <f t="shared" si="2"/>
        <v>201476000.20979932</v>
      </c>
      <c r="H14" s="7">
        <f t="shared" si="2"/>
        <v>207964571.08979931</v>
      </c>
      <c r="I14" s="7">
        <f t="shared" si="2"/>
        <v>6101623225.2793589</v>
      </c>
      <c r="J14" s="7">
        <f t="shared" si="2"/>
        <v>222262636.13663015</v>
      </c>
      <c r="K14" s="7">
        <f t="shared" si="2"/>
        <v>222262636.13663015</v>
      </c>
      <c r="L14" s="7">
        <f t="shared" si="2"/>
        <v>222262636.13663015</v>
      </c>
      <c r="M14" s="7">
        <f t="shared" si="2"/>
        <v>222262636.13663015</v>
      </c>
      <c r="N14" s="7">
        <f t="shared" si="2"/>
        <v>222262636.13663015</v>
      </c>
      <c r="O14" s="7">
        <f>SUM(O6:O13)</f>
        <v>10863395269.301306</v>
      </c>
      <c r="P14" s="34">
        <f t="shared" si="1"/>
        <v>0</v>
      </c>
      <c r="Q14" s="35"/>
      <c r="R14" s="35"/>
      <c r="S14" s="2"/>
      <c r="T14" s="2"/>
    </row>
    <row r="15" spans="1:20" x14ac:dyDescent="0.25">
      <c r="A15" s="5" t="s">
        <v>36</v>
      </c>
      <c r="B15" s="4">
        <f>+'[7]Planeación 2024 P&amp;K Hoja de W'!$E$48</f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3">+E15</f>
        <v>81283194</v>
      </c>
      <c r="G15" s="4">
        <f t="shared" si="3"/>
        <v>81283194</v>
      </c>
      <c r="H15" s="4">
        <f t="shared" si="3"/>
        <v>81283194</v>
      </c>
      <c r="I15" s="4">
        <f t="shared" si="3"/>
        <v>81283194</v>
      </c>
      <c r="J15" s="4">
        <f t="shared" si="3"/>
        <v>81283194</v>
      </c>
      <c r="K15" s="4">
        <f t="shared" si="3"/>
        <v>81283194</v>
      </c>
      <c r="L15" s="4">
        <f t="shared" si="3"/>
        <v>81283194</v>
      </c>
      <c r="M15" s="4">
        <f t="shared" si="3"/>
        <v>81283194</v>
      </c>
      <c r="N15" s="4">
        <f>+M15+3.35</f>
        <v>81283197.349999994</v>
      </c>
      <c r="O15" s="4">
        <f t="shared" ref="O15:O46" si="4">SUM(C15:N15)</f>
        <v>975398331.35000002</v>
      </c>
      <c r="P15" s="34">
        <f t="shared" si="1"/>
        <v>4.5669078826904297E-3</v>
      </c>
      <c r="Q15" s="36"/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4"/>
        <v>0</v>
      </c>
      <c r="P16" s="34">
        <f t="shared" si="1"/>
        <v>0</v>
      </c>
      <c r="Q16" s="36"/>
      <c r="R16" s="36"/>
      <c r="S16" s="2"/>
      <c r="T16" s="2"/>
    </row>
    <row r="17" spans="1:26" x14ac:dyDescent="0.25">
      <c r="A17" s="58" t="s">
        <v>9</v>
      </c>
      <c r="B17" s="10">
        <f>SUM(B18:B25)</f>
        <v>265600000</v>
      </c>
      <c r="C17" s="10">
        <f t="shared" ref="C17:N17" si="5">SUM(C18:C25)</f>
        <v>8000000</v>
      </c>
      <c r="D17" s="10">
        <f t="shared" si="5"/>
        <v>20000000</v>
      </c>
      <c r="E17" s="10">
        <f t="shared" si="5"/>
        <v>26000000</v>
      </c>
      <c r="F17" s="10">
        <f t="shared" si="5"/>
        <v>18000000</v>
      </c>
      <c r="G17" s="10">
        <f t="shared" si="5"/>
        <v>24600000</v>
      </c>
      <c r="H17" s="10">
        <f t="shared" si="5"/>
        <v>18000000</v>
      </c>
      <c r="I17" s="10">
        <f t="shared" si="5"/>
        <v>21000000</v>
      </c>
      <c r="J17" s="10">
        <f t="shared" si="5"/>
        <v>20000000</v>
      </c>
      <c r="K17" s="10">
        <f t="shared" si="5"/>
        <v>18000000</v>
      </c>
      <c r="L17" s="10">
        <f t="shared" si="5"/>
        <v>21000000</v>
      </c>
      <c r="M17" s="10">
        <f t="shared" si="5"/>
        <v>53000000</v>
      </c>
      <c r="N17" s="10">
        <f t="shared" si="5"/>
        <v>18000000</v>
      </c>
      <c r="O17" s="4">
        <f t="shared" si="4"/>
        <v>265600000</v>
      </c>
      <c r="P17" s="34">
        <f t="shared" si="1"/>
        <v>0</v>
      </c>
      <c r="Q17" s="36"/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tr">
        <f>+'[7]Planeación 2024 P&amp;K Hoja de W'!$C$15</f>
        <v>Suministro bomba lodos</v>
      </c>
      <c r="B18" s="4">
        <f>+'[7]Planeación 2024 P&amp;K Hoja de W'!$H$15</f>
        <v>5000000</v>
      </c>
      <c r="C18" s="4"/>
      <c r="D18" s="4"/>
      <c r="E18" s="4"/>
      <c r="F18" s="4"/>
      <c r="G18" s="4">
        <f>+B18</f>
        <v>5000000</v>
      </c>
      <c r="H18" s="4"/>
      <c r="I18" s="4"/>
      <c r="J18" s="4"/>
      <c r="K18" s="4"/>
      <c r="L18" s="4"/>
      <c r="M18" s="4"/>
      <c r="N18" s="4"/>
      <c r="O18" s="4">
        <f t="shared" si="4"/>
        <v>5000000</v>
      </c>
      <c r="P18" s="34">
        <f t="shared" si="1"/>
        <v>0</v>
      </c>
      <c r="Q18" s="36"/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f>+'[7]Planeación 2024 P&amp;K Hoja de W'!$H$16</f>
        <v>8000000</v>
      </c>
      <c r="C19" s="4"/>
      <c r="D19" s="4"/>
      <c r="E19" s="4"/>
      <c r="F19" s="4"/>
      <c r="G19" s="4"/>
      <c r="H19" s="4"/>
      <c r="I19" s="4">
        <v>3000000</v>
      </c>
      <c r="J19" s="4">
        <v>2000000</v>
      </c>
      <c r="K19" s="4"/>
      <c r="L19" s="4">
        <v>3000000</v>
      </c>
      <c r="M19" s="4"/>
      <c r="N19" s="4"/>
      <c r="O19" s="4">
        <f t="shared" si="4"/>
        <v>8000000</v>
      </c>
      <c r="P19" s="34">
        <f t="shared" si="1"/>
        <v>0</v>
      </c>
      <c r="Q19" s="36"/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f>+'[7]Planeación 2024 P&amp;K Hoja de W'!$H$18</f>
        <v>5000000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5000000</v>
      </c>
      <c r="N20" s="4"/>
      <c r="O20" s="4">
        <f t="shared" si="4"/>
        <v>5000000</v>
      </c>
      <c r="P20" s="34">
        <f t="shared" si="1"/>
        <v>0</v>
      </c>
      <c r="Q20" s="36"/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f>+'[7]Planeación 2024 P&amp;K Hoja de W'!$H$20</f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4"/>
        <v>30000000</v>
      </c>
      <c r="P21" s="34">
        <f t="shared" si="1"/>
        <v>0</v>
      </c>
      <c r="Q21" s="36"/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+'[7]Planeación 2024 P&amp;K Hoja de W'!$H$21</f>
        <v>1600000</v>
      </c>
      <c r="C22" s="4"/>
      <c r="D22" s="4"/>
      <c r="E22" s="4"/>
      <c r="F22" s="4"/>
      <c r="G22" s="4">
        <v>1600000</v>
      </c>
      <c r="H22" s="4"/>
      <c r="I22" s="4"/>
      <c r="J22" s="4"/>
      <c r="K22" s="4"/>
      <c r="L22" s="4"/>
      <c r="M22" s="4"/>
      <c r="N22" s="4"/>
      <c r="O22" s="4">
        <f t="shared" si="4"/>
        <v>1600000</v>
      </c>
      <c r="P22" s="34">
        <f t="shared" si="1"/>
        <v>0</v>
      </c>
      <c r="Q22" s="36"/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f>+'[7]Planeación 2024 P&amp;K Hoja de W'!$H$22</f>
        <v>120000000</v>
      </c>
      <c r="C23" s="4"/>
      <c r="D23" s="4"/>
      <c r="E23" s="4">
        <f>+B23/10</f>
        <v>12000000</v>
      </c>
      <c r="F23" s="4">
        <f>+E23</f>
        <v>12000000</v>
      </c>
      <c r="G23" s="4">
        <f t="shared" ref="G23:N23" si="6">+F23</f>
        <v>12000000</v>
      </c>
      <c r="H23" s="4">
        <f t="shared" si="6"/>
        <v>12000000</v>
      </c>
      <c r="I23" s="4">
        <f t="shared" si="6"/>
        <v>12000000</v>
      </c>
      <c r="J23" s="4">
        <f t="shared" si="6"/>
        <v>12000000</v>
      </c>
      <c r="K23" s="4">
        <f t="shared" si="6"/>
        <v>12000000</v>
      </c>
      <c r="L23" s="4">
        <f t="shared" si="6"/>
        <v>12000000</v>
      </c>
      <c r="M23" s="4">
        <f t="shared" si="6"/>
        <v>12000000</v>
      </c>
      <c r="N23" s="4">
        <f t="shared" si="6"/>
        <v>12000000</v>
      </c>
      <c r="O23" s="4">
        <f t="shared" si="4"/>
        <v>120000000</v>
      </c>
      <c r="P23" s="34">
        <f t="shared" si="1"/>
        <v>0</v>
      </c>
      <c r="Q23" s="36"/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f>+'[7]Planeación 2024 P&amp;K Hoja de W'!$H$24</f>
        <v>12000000</v>
      </c>
      <c r="C24" s="4"/>
      <c r="D24" s="4">
        <v>12000000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4"/>
        <v>12000000</v>
      </c>
      <c r="P24" s="34">
        <f t="shared" si="1"/>
        <v>0</v>
      </c>
      <c r="Q24" s="36"/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143</v>
      </c>
      <c r="B25" s="4">
        <f>+'[7]Planeación 2024 P&amp;K Hoja de W'!$H$29</f>
        <v>84000000</v>
      </c>
      <c r="C25" s="4">
        <v>8000000</v>
      </c>
      <c r="D25" s="4">
        <f>+C25</f>
        <v>8000000</v>
      </c>
      <c r="E25" s="4">
        <v>14000000</v>
      </c>
      <c r="F25" s="4">
        <v>6000000</v>
      </c>
      <c r="G25" s="4">
        <f>+F25</f>
        <v>6000000</v>
      </c>
      <c r="H25" s="4">
        <f t="shared" ref="H25:N25" si="7">+G25</f>
        <v>6000000</v>
      </c>
      <c r="I25" s="4">
        <f t="shared" si="7"/>
        <v>6000000</v>
      </c>
      <c r="J25" s="4">
        <f t="shared" si="7"/>
        <v>6000000</v>
      </c>
      <c r="K25" s="4">
        <f t="shared" si="7"/>
        <v>6000000</v>
      </c>
      <c r="L25" s="4">
        <f t="shared" si="7"/>
        <v>6000000</v>
      </c>
      <c r="M25" s="4">
        <f t="shared" si="7"/>
        <v>6000000</v>
      </c>
      <c r="N25" s="4">
        <f t="shared" si="7"/>
        <v>6000000</v>
      </c>
      <c r="O25" s="4">
        <f t="shared" si="4"/>
        <v>84000000</v>
      </c>
      <c r="P25" s="34">
        <f t="shared" si="1"/>
        <v>0</v>
      </c>
      <c r="Q25" s="36"/>
      <c r="R25" s="36"/>
      <c r="S25" s="2"/>
      <c r="T25" s="37"/>
      <c r="U25" s="20"/>
      <c r="V25" s="20"/>
      <c r="W25" s="20"/>
      <c r="X25" s="20"/>
      <c r="Y25" s="20"/>
      <c r="Z25" s="20"/>
    </row>
    <row r="26" spans="1:26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4"/>
        <v>0</v>
      </c>
      <c r="P26" s="34">
        <f t="shared" si="1"/>
        <v>0</v>
      </c>
      <c r="Q26" s="36"/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8">SUM(C28:C31)</f>
        <v>4220000</v>
      </c>
      <c r="D27" s="10">
        <f t="shared" si="8"/>
        <v>34220000</v>
      </c>
      <c r="E27" s="10">
        <f t="shared" si="8"/>
        <v>34220000</v>
      </c>
      <c r="F27" s="10">
        <f t="shared" si="8"/>
        <v>4220000</v>
      </c>
      <c r="G27" s="10">
        <f t="shared" si="8"/>
        <v>4220000</v>
      </c>
      <c r="H27" s="10">
        <f t="shared" si="8"/>
        <v>4220000</v>
      </c>
      <c r="I27" s="10">
        <f t="shared" si="8"/>
        <v>4220000</v>
      </c>
      <c r="J27" s="10">
        <f t="shared" si="8"/>
        <v>4220000</v>
      </c>
      <c r="K27" s="10">
        <f t="shared" si="8"/>
        <v>1204220000</v>
      </c>
      <c r="L27" s="10">
        <f t="shared" si="8"/>
        <v>4220000</v>
      </c>
      <c r="M27" s="10">
        <f t="shared" si="8"/>
        <v>4220000</v>
      </c>
      <c r="N27" s="10">
        <f t="shared" si="8"/>
        <v>4220000</v>
      </c>
      <c r="O27" s="4">
        <f t="shared" si="4"/>
        <v>1310640000</v>
      </c>
      <c r="P27" s="34">
        <f t="shared" si="1"/>
        <v>0</v>
      </c>
      <c r="Q27" s="36"/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f>+'[7]Planeación 2024 P&amp;K Hoja de W'!$H$25</f>
        <v>24000000</v>
      </c>
      <c r="C28" s="4">
        <f>+B28/12</f>
        <v>2000000</v>
      </c>
      <c r="D28" s="4">
        <f>+C28</f>
        <v>2000000</v>
      </c>
      <c r="E28" s="4">
        <f t="shared" ref="E28:N28" si="9">+D28</f>
        <v>2000000</v>
      </c>
      <c r="F28" s="4">
        <f t="shared" si="9"/>
        <v>2000000</v>
      </c>
      <c r="G28" s="4">
        <f t="shared" si="9"/>
        <v>2000000</v>
      </c>
      <c r="H28" s="4">
        <f t="shared" si="9"/>
        <v>2000000</v>
      </c>
      <c r="I28" s="4">
        <f t="shared" si="9"/>
        <v>2000000</v>
      </c>
      <c r="J28" s="4">
        <f t="shared" si="9"/>
        <v>2000000</v>
      </c>
      <c r="K28" s="4">
        <f t="shared" si="9"/>
        <v>2000000</v>
      </c>
      <c r="L28" s="4">
        <f t="shared" si="9"/>
        <v>2000000</v>
      </c>
      <c r="M28" s="4">
        <f t="shared" si="9"/>
        <v>2000000</v>
      </c>
      <c r="N28" s="4">
        <f t="shared" si="9"/>
        <v>2000000</v>
      </c>
      <c r="O28" s="4">
        <f t="shared" si="4"/>
        <v>24000000</v>
      </c>
      <c r="P28" s="34">
        <f t="shared" si="1"/>
        <v>0</v>
      </c>
      <c r="Q28" s="36"/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f>+'[7]Planeación 2024 P&amp;K Hoja de W'!$H$26</f>
        <v>26640000</v>
      </c>
      <c r="C29" s="4">
        <f>+B29/12</f>
        <v>2220000</v>
      </c>
      <c r="D29" s="4">
        <f>+C29</f>
        <v>2220000</v>
      </c>
      <c r="E29" s="4">
        <f t="shared" ref="E29:N29" si="10">+D29</f>
        <v>2220000</v>
      </c>
      <c r="F29" s="4">
        <f t="shared" si="10"/>
        <v>2220000</v>
      </c>
      <c r="G29" s="4">
        <f t="shared" si="10"/>
        <v>2220000</v>
      </c>
      <c r="H29" s="4">
        <f t="shared" si="10"/>
        <v>2220000</v>
      </c>
      <c r="I29" s="4">
        <f t="shared" si="10"/>
        <v>2220000</v>
      </c>
      <c r="J29" s="4">
        <f t="shared" si="10"/>
        <v>2220000</v>
      </c>
      <c r="K29" s="4">
        <f t="shared" si="10"/>
        <v>2220000</v>
      </c>
      <c r="L29" s="4">
        <f t="shared" si="10"/>
        <v>2220000</v>
      </c>
      <c r="M29" s="4">
        <f t="shared" si="10"/>
        <v>2220000</v>
      </c>
      <c r="N29" s="4">
        <f t="shared" si="10"/>
        <v>2220000</v>
      </c>
      <c r="O29" s="4">
        <f t="shared" si="4"/>
        <v>26640000</v>
      </c>
      <c r="P29" s="34">
        <f t="shared" si="1"/>
        <v>0</v>
      </c>
      <c r="Q29" s="36"/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144</v>
      </c>
      <c r="B30" s="4">
        <f>+'[7]Planeación 2024 P&amp;K Hoja de W'!$H$30</f>
        <v>60000000</v>
      </c>
      <c r="C30" s="4"/>
      <c r="D30" s="4">
        <v>30000000</v>
      </c>
      <c r="E30" s="4">
        <v>30000000</v>
      </c>
      <c r="F30" s="4"/>
      <c r="G30" s="4"/>
      <c r="H30" s="4"/>
      <c r="I30" s="4"/>
      <c r="J30" s="4"/>
      <c r="K30" s="4"/>
      <c r="L30" s="4"/>
      <c r="M30" s="4"/>
      <c r="N30" s="4"/>
      <c r="O30" s="4">
        <f t="shared" si="4"/>
        <v>60000000</v>
      </c>
      <c r="P30" s="34">
        <f t="shared" si="1"/>
        <v>0</v>
      </c>
      <c r="Q30" s="36"/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f>+'[7]Planeación 2024 P&amp;K Hoja de W'!$H$14</f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4"/>
        <v>1200000000</v>
      </c>
      <c r="P31" s="34">
        <f t="shared" si="1"/>
        <v>0</v>
      </c>
      <c r="Q31" s="36"/>
      <c r="R31" s="2"/>
      <c r="T31" s="37"/>
      <c r="U31" s="20"/>
      <c r="V31" s="20"/>
      <c r="W31" s="20"/>
      <c r="X31" s="20"/>
      <c r="Y31" s="20"/>
      <c r="Z31" s="20"/>
    </row>
    <row r="32" spans="1:26" hidden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4"/>
        <v>0</v>
      </c>
      <c r="P32" s="34">
        <f t="shared" si="1"/>
        <v>0</v>
      </c>
      <c r="Q32" s="36"/>
      <c r="R32" s="2"/>
      <c r="T32" s="37"/>
      <c r="U32" s="20"/>
      <c r="V32" s="20"/>
      <c r="W32" s="20"/>
      <c r="X32" s="20"/>
      <c r="Y32" s="20"/>
      <c r="Z32" s="20"/>
    </row>
    <row r="33" spans="1:26" hidden="1" x14ac:dyDescent="0.25">
      <c r="A33" s="5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4"/>
        <v>0</v>
      </c>
      <c r="P33" s="34">
        <f t="shared" si="1"/>
        <v>0</v>
      </c>
      <c r="Q33" s="36"/>
      <c r="R33" s="36"/>
      <c r="S33" s="2"/>
      <c r="T33" s="37"/>
      <c r="U33" s="20"/>
      <c r="V33" s="20"/>
      <c r="W33" s="20"/>
      <c r="X33" s="20"/>
      <c r="Y33" s="20"/>
      <c r="Z33" s="20"/>
    </row>
    <row r="34" spans="1:26" hidden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4"/>
        <v>0</v>
      </c>
      <c r="P34" s="34">
        <f t="shared" si="1"/>
        <v>0</v>
      </c>
      <c r="Q34" s="36"/>
      <c r="R34" s="36"/>
      <c r="S34" s="2"/>
      <c r="T34" s="37"/>
      <c r="U34" s="20"/>
      <c r="V34" s="20"/>
      <c r="W34" s="20"/>
      <c r="X34" s="20"/>
      <c r="Y34" s="20"/>
      <c r="Z34" s="20"/>
    </row>
    <row r="35" spans="1:26" hidden="1" x14ac:dyDescent="0.25">
      <c r="A35" s="5" t="s">
        <v>11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4"/>
        <v>0</v>
      </c>
      <c r="P35" s="34">
        <f t="shared" si="1"/>
        <v>0</v>
      </c>
      <c r="Q35" s="36"/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8" t="s">
        <v>12</v>
      </c>
      <c r="B36" s="10">
        <f>SUM(B37:B41)</f>
        <v>616180000</v>
      </c>
      <c r="C36" s="10">
        <f>SUM(C37:C41)</f>
        <v>46765000</v>
      </c>
      <c r="D36" s="10">
        <f t="shared" ref="D36:N36" si="11">SUM(D37:D41)</f>
        <v>46765000</v>
      </c>
      <c r="E36" s="10">
        <f t="shared" si="11"/>
        <v>56765000</v>
      </c>
      <c r="F36" s="10">
        <f t="shared" si="11"/>
        <v>79765000</v>
      </c>
      <c r="G36" s="10">
        <f t="shared" si="11"/>
        <v>65765000</v>
      </c>
      <c r="H36" s="10">
        <f t="shared" si="11"/>
        <v>40765000</v>
      </c>
      <c r="I36" s="10">
        <f t="shared" si="11"/>
        <v>40765000</v>
      </c>
      <c r="J36" s="10">
        <f t="shared" si="11"/>
        <v>40765000</v>
      </c>
      <c r="K36" s="10">
        <f t="shared" si="11"/>
        <v>50765000</v>
      </c>
      <c r="L36" s="10">
        <f t="shared" si="11"/>
        <v>65765000</v>
      </c>
      <c r="M36" s="10">
        <f t="shared" si="11"/>
        <v>40765000</v>
      </c>
      <c r="N36" s="10">
        <f t="shared" si="11"/>
        <v>40765000</v>
      </c>
      <c r="O36" s="4">
        <f t="shared" si="4"/>
        <v>616180000</v>
      </c>
      <c r="P36" s="34">
        <f t="shared" si="1"/>
        <v>0</v>
      </c>
      <c r="Q36" s="36"/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" t="s">
        <v>137</v>
      </c>
      <c r="B37" s="4">
        <f>+'[7]Planeación 2024 P&amp;K Hoja de W'!$H$23</f>
        <v>25000000</v>
      </c>
      <c r="C37" s="4"/>
      <c r="D37" s="4"/>
      <c r="E37" s="4"/>
      <c r="F37" s="4"/>
      <c r="G37" s="4"/>
      <c r="H37" s="4"/>
      <c r="I37" s="4"/>
      <c r="J37" s="4"/>
      <c r="K37" s="4"/>
      <c r="L37" s="4">
        <v>25000000</v>
      </c>
      <c r="M37" s="4"/>
      <c r="N37" s="4"/>
      <c r="O37" s="4">
        <f t="shared" si="4"/>
        <v>25000000</v>
      </c>
      <c r="P37" s="34">
        <f t="shared" si="1"/>
        <v>0</v>
      </c>
      <c r="Q37" s="36"/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141</v>
      </c>
      <c r="B38" s="4">
        <f>+'[7]Planeación 2024 P&amp;K Hoja de W'!$H$27</f>
        <v>24000000</v>
      </c>
      <c r="C38" s="4"/>
      <c r="D38" s="4"/>
      <c r="E38" s="4"/>
      <c r="F38" s="4">
        <v>14000000</v>
      </c>
      <c r="G38" s="4"/>
      <c r="H38" s="4"/>
      <c r="I38" s="4"/>
      <c r="J38" s="4"/>
      <c r="K38" s="4">
        <v>10000000</v>
      </c>
      <c r="L38" s="4"/>
      <c r="M38" s="4"/>
      <c r="N38" s="4"/>
      <c r="O38" s="4">
        <f t="shared" si="4"/>
        <v>24000000</v>
      </c>
      <c r="P38" s="34">
        <f t="shared" si="1"/>
        <v>0</v>
      </c>
      <c r="Q38" s="36"/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142</v>
      </c>
      <c r="B39" s="4">
        <f>+'[7]Planeación 2024 P&amp;K Hoja de W'!$H$28</f>
        <v>366000000</v>
      </c>
      <c r="C39" s="4">
        <v>30000000</v>
      </c>
      <c r="D39" s="4">
        <f>+C39</f>
        <v>30000000</v>
      </c>
      <c r="E39" s="4">
        <v>40000000</v>
      </c>
      <c r="F39" s="4">
        <v>49000000</v>
      </c>
      <c r="G39" s="4">
        <f>+F39</f>
        <v>49000000</v>
      </c>
      <c r="H39" s="4">
        <v>24000000</v>
      </c>
      <c r="I39" s="4">
        <f>+H39</f>
        <v>24000000</v>
      </c>
      <c r="J39" s="4">
        <f t="shared" ref="J39:N39" si="12">+I39</f>
        <v>24000000</v>
      </c>
      <c r="K39" s="4">
        <f t="shared" si="12"/>
        <v>24000000</v>
      </c>
      <c r="L39" s="4">
        <f t="shared" si="12"/>
        <v>24000000</v>
      </c>
      <c r="M39" s="4">
        <f t="shared" si="12"/>
        <v>24000000</v>
      </c>
      <c r="N39" s="4">
        <f t="shared" si="12"/>
        <v>24000000</v>
      </c>
      <c r="O39" s="4">
        <f t="shared" si="4"/>
        <v>366000000</v>
      </c>
      <c r="P39" s="34">
        <f t="shared" si="1"/>
        <v>0</v>
      </c>
      <c r="Q39" s="36"/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145</v>
      </c>
      <c r="B40" s="4">
        <f>+'[7]Planeación 2024 P&amp;K Hoja de W'!$H$31</f>
        <v>30000000</v>
      </c>
      <c r="C40" s="4">
        <f>+B40/12</f>
        <v>2500000</v>
      </c>
      <c r="D40" s="4">
        <f>+C40</f>
        <v>2500000</v>
      </c>
      <c r="E40" s="4">
        <f t="shared" ref="E40:N40" si="13">+D40</f>
        <v>2500000</v>
      </c>
      <c r="F40" s="4">
        <f t="shared" si="13"/>
        <v>2500000</v>
      </c>
      <c r="G40" s="4">
        <f t="shared" si="13"/>
        <v>2500000</v>
      </c>
      <c r="H40" s="4">
        <f t="shared" si="13"/>
        <v>2500000</v>
      </c>
      <c r="I40" s="4">
        <f t="shared" si="13"/>
        <v>2500000</v>
      </c>
      <c r="J40" s="4">
        <f t="shared" si="13"/>
        <v>2500000</v>
      </c>
      <c r="K40" s="4">
        <f t="shared" si="13"/>
        <v>2500000</v>
      </c>
      <c r="L40" s="4">
        <f t="shared" si="13"/>
        <v>2500000</v>
      </c>
      <c r="M40" s="4">
        <f t="shared" si="13"/>
        <v>2500000</v>
      </c>
      <c r="N40" s="4">
        <f t="shared" si="13"/>
        <v>2500000</v>
      </c>
      <c r="O40" s="4">
        <f t="shared" si="4"/>
        <v>30000000</v>
      </c>
      <c r="P40" s="34">
        <f t="shared" si="1"/>
        <v>0</v>
      </c>
      <c r="Q40" s="36"/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146</v>
      </c>
      <c r="B41" s="4">
        <f>+'[7]Planeación 2024 P&amp;K Hoja de W'!$H$32+'[7]Planeación 2024 P&amp;K Hoja de W'!$H$33+'[7]Planeación 2024 P&amp;K Hoja de W'!$H$34</f>
        <v>171180000</v>
      </c>
      <c r="C41" s="4">
        <f>+B41/12</f>
        <v>14265000</v>
      </c>
      <c r="D41" s="4">
        <f>+C41</f>
        <v>14265000</v>
      </c>
      <c r="E41" s="4">
        <f t="shared" ref="E41:N41" si="14">+D41</f>
        <v>14265000</v>
      </c>
      <c r="F41" s="4">
        <f t="shared" si="14"/>
        <v>14265000</v>
      </c>
      <c r="G41" s="4">
        <f t="shared" si="14"/>
        <v>14265000</v>
      </c>
      <c r="H41" s="4">
        <f t="shared" si="14"/>
        <v>14265000</v>
      </c>
      <c r="I41" s="4">
        <f t="shared" si="14"/>
        <v>14265000</v>
      </c>
      <c r="J41" s="4">
        <f t="shared" si="14"/>
        <v>14265000</v>
      </c>
      <c r="K41" s="4">
        <f t="shared" si="14"/>
        <v>14265000</v>
      </c>
      <c r="L41" s="4">
        <f t="shared" si="14"/>
        <v>14265000</v>
      </c>
      <c r="M41" s="4">
        <f t="shared" si="14"/>
        <v>14265000</v>
      </c>
      <c r="N41" s="4">
        <f t="shared" si="14"/>
        <v>14265000</v>
      </c>
      <c r="O41" s="4">
        <f t="shared" si="4"/>
        <v>171180000</v>
      </c>
      <c r="P41" s="34">
        <f t="shared" si="1"/>
        <v>0</v>
      </c>
      <c r="Q41" s="36"/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4"/>
        <v>0</v>
      </c>
      <c r="P42" s="34">
        <f t="shared" si="1"/>
        <v>0</v>
      </c>
      <c r="Q42" s="36"/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4"/>
      <c r="Q43" s="36"/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12" t="s">
        <v>13</v>
      </c>
      <c r="B44" s="8">
        <f>+B36+B27+B17+B16+B15</f>
        <v>3167818331.3454332</v>
      </c>
      <c r="C44" s="8">
        <f t="shared" ref="C44:O44" si="15">+C36+C27+C17+C16+C15</f>
        <v>140268194</v>
      </c>
      <c r="D44" s="8">
        <f t="shared" si="15"/>
        <v>182268194</v>
      </c>
      <c r="E44" s="8">
        <f t="shared" si="15"/>
        <v>198268194</v>
      </c>
      <c r="F44" s="8">
        <f t="shared" si="15"/>
        <v>183268194</v>
      </c>
      <c r="G44" s="8">
        <f t="shared" si="15"/>
        <v>175868194</v>
      </c>
      <c r="H44" s="8">
        <f t="shared" si="15"/>
        <v>144268194</v>
      </c>
      <c r="I44" s="8">
        <f t="shared" si="15"/>
        <v>147268194</v>
      </c>
      <c r="J44" s="8">
        <f t="shared" si="15"/>
        <v>146268194</v>
      </c>
      <c r="K44" s="8">
        <f t="shared" si="15"/>
        <v>1354268194</v>
      </c>
      <c r="L44" s="8">
        <f t="shared" si="15"/>
        <v>172268194</v>
      </c>
      <c r="M44" s="8">
        <f t="shared" si="15"/>
        <v>179268194</v>
      </c>
      <c r="N44" s="8">
        <f t="shared" si="15"/>
        <v>144268197.34999999</v>
      </c>
      <c r="O44" s="8">
        <f t="shared" si="15"/>
        <v>3167818331.3499999</v>
      </c>
      <c r="P44" s="34">
        <f t="shared" si="1"/>
        <v>4.5666694641113281E-3</v>
      </c>
      <c r="Q44" s="35"/>
      <c r="R44" s="35"/>
      <c r="S44" s="2"/>
      <c r="U44" s="20"/>
      <c r="V44" s="20"/>
      <c r="W44" s="20"/>
      <c r="X44" s="20"/>
    </row>
    <row r="45" spans="1:26" x14ac:dyDescent="0.25">
      <c r="A45" s="5" t="s">
        <v>35</v>
      </c>
      <c r="B45" s="4">
        <f>+'[7]Planeación 2024 P&amp;K Hoja de W'!$E$116</f>
        <v>45053763.229277767</v>
      </c>
      <c r="C45" s="27">
        <f>+B45/12</f>
        <v>3754480.2691064808</v>
      </c>
      <c r="D45" s="4">
        <f>+C45</f>
        <v>3754480.2691064808</v>
      </c>
      <c r="E45" s="4">
        <f t="shared" ref="E45:N45" si="16">+D45</f>
        <v>3754480.2691064808</v>
      </c>
      <c r="F45" s="4">
        <f t="shared" si="16"/>
        <v>3754480.2691064808</v>
      </c>
      <c r="G45" s="4">
        <f t="shared" si="16"/>
        <v>3754480.2691064808</v>
      </c>
      <c r="H45" s="4">
        <f t="shared" si="16"/>
        <v>3754480.2691064808</v>
      </c>
      <c r="I45" s="4">
        <f t="shared" si="16"/>
        <v>3754480.2691064808</v>
      </c>
      <c r="J45" s="4">
        <f t="shared" si="16"/>
        <v>3754480.2691064808</v>
      </c>
      <c r="K45" s="4">
        <f t="shared" si="16"/>
        <v>3754480.2691064808</v>
      </c>
      <c r="L45" s="4">
        <f t="shared" si="16"/>
        <v>3754480.2691064808</v>
      </c>
      <c r="M45" s="4">
        <f t="shared" si="16"/>
        <v>3754480.2691064808</v>
      </c>
      <c r="N45" s="4">
        <f t="shared" si="16"/>
        <v>3754480.2691064808</v>
      </c>
      <c r="O45" s="4">
        <f>SUM(C45:N45)</f>
        <v>45053763.22927776</v>
      </c>
      <c r="P45" s="34">
        <f t="shared" si="1"/>
        <v>0</v>
      </c>
      <c r="Q45" s="38"/>
      <c r="R45" s="38"/>
      <c r="S45" s="2"/>
      <c r="U45" s="20"/>
      <c r="V45" s="20"/>
      <c r="W45" s="20"/>
      <c r="X45" s="20"/>
    </row>
    <row r="46" spans="1:26" x14ac:dyDescent="0.25">
      <c r="A46" s="5" t="s">
        <v>14</v>
      </c>
      <c r="B46" s="4">
        <f>+'[7]Planeación 2024 P&amp;K Hoja de W'!$H$104+'[7]Planeación 2024 P&amp;K Hoja de W'!$H$105+'[7]Planeación 2024 P&amp;K Hoja de W'!$H$106</f>
        <v>95000000</v>
      </c>
      <c r="C46" s="4">
        <v>0</v>
      </c>
      <c r="D46" s="4">
        <f>15000000+35000000</f>
        <v>50000000</v>
      </c>
      <c r="E46" s="4">
        <v>20000000</v>
      </c>
      <c r="F46" s="4">
        <v>20000000</v>
      </c>
      <c r="G46" s="4">
        <v>5000000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f t="shared" si="4"/>
        <v>95000000</v>
      </c>
      <c r="P46" s="34">
        <f t="shared" si="1"/>
        <v>0</v>
      </c>
      <c r="Q46" s="38"/>
      <c r="R46" s="38"/>
      <c r="S46" s="2"/>
      <c r="U46" s="20"/>
      <c r="V46" s="20"/>
      <c r="W46" s="20"/>
      <c r="X46" s="20"/>
    </row>
    <row r="47" spans="1:26" x14ac:dyDescent="0.25">
      <c r="A47" s="12" t="s">
        <v>15</v>
      </c>
      <c r="B47" s="8">
        <f>SUM(B45:B46)</f>
        <v>140053763.22927776</v>
      </c>
      <c r="C47" s="8">
        <f>SUM(C45:C46)</f>
        <v>3754480.2691064808</v>
      </c>
      <c r="D47" s="8">
        <f t="shared" ref="D47" si="17">SUM(D45:D46)</f>
        <v>53754480.269106477</v>
      </c>
      <c r="E47" s="8">
        <f t="shared" ref="E47:O47" si="18">SUM(E45:E46)</f>
        <v>23754480.269106481</v>
      </c>
      <c r="F47" s="8">
        <f t="shared" si="18"/>
        <v>23754480.269106481</v>
      </c>
      <c r="G47" s="8">
        <f t="shared" si="18"/>
        <v>8754480.2691064812</v>
      </c>
      <c r="H47" s="8">
        <f t="shared" si="18"/>
        <v>3754480.2691064808</v>
      </c>
      <c r="I47" s="8">
        <f t="shared" si="18"/>
        <v>3754480.2691064808</v>
      </c>
      <c r="J47" s="8">
        <f t="shared" si="18"/>
        <v>3754480.2691064808</v>
      </c>
      <c r="K47" s="8">
        <f t="shared" si="18"/>
        <v>3754480.2691064808</v>
      </c>
      <c r="L47" s="8">
        <f t="shared" si="18"/>
        <v>3754480.2691064808</v>
      </c>
      <c r="M47" s="8">
        <f t="shared" si="18"/>
        <v>3754480.2691064808</v>
      </c>
      <c r="N47" s="8">
        <f t="shared" si="18"/>
        <v>3754480.2691064808</v>
      </c>
      <c r="O47" s="8">
        <f t="shared" si="18"/>
        <v>140053763.22927776</v>
      </c>
      <c r="P47" s="34">
        <f t="shared" si="1"/>
        <v>0</v>
      </c>
      <c r="Q47" s="36"/>
      <c r="R47" s="36"/>
      <c r="S47" s="2"/>
      <c r="U47" s="20"/>
      <c r="V47" s="20"/>
      <c r="W47" s="20"/>
      <c r="X47" s="20"/>
    </row>
    <row r="48" spans="1:26" x14ac:dyDescent="0.25">
      <c r="A48" s="12" t="s">
        <v>1</v>
      </c>
      <c r="B48" s="8">
        <f>+B47+B44</f>
        <v>3307872094.5747108</v>
      </c>
      <c r="C48" s="8">
        <f>+C47+C44</f>
        <v>144022674.26910648</v>
      </c>
      <c r="D48" s="8">
        <f t="shared" ref="D48" si="19">+D47+D44</f>
        <v>236022674.26910648</v>
      </c>
      <c r="E48" s="8">
        <f t="shared" ref="E48:O48" si="20">+E47+E44</f>
        <v>222022674.26910648</v>
      </c>
      <c r="F48" s="8">
        <f t="shared" si="20"/>
        <v>207022674.26910648</v>
      </c>
      <c r="G48" s="8">
        <f t="shared" si="20"/>
        <v>184622674.26910648</v>
      </c>
      <c r="H48" s="8">
        <f t="shared" si="20"/>
        <v>148022674.26910648</v>
      </c>
      <c r="I48" s="8">
        <f t="shared" si="20"/>
        <v>151022674.26910648</v>
      </c>
      <c r="J48" s="8">
        <f t="shared" si="20"/>
        <v>150022674.26910648</v>
      </c>
      <c r="K48" s="8">
        <f t="shared" si="20"/>
        <v>1358022674.2691064</v>
      </c>
      <c r="L48" s="8">
        <f t="shared" si="20"/>
        <v>176022674.26910648</v>
      </c>
      <c r="M48" s="8">
        <f t="shared" si="20"/>
        <v>183022674.26910648</v>
      </c>
      <c r="N48" s="8">
        <f t="shared" si="20"/>
        <v>148022677.61910647</v>
      </c>
      <c r="O48" s="8">
        <f t="shared" si="20"/>
        <v>3307872094.5792775</v>
      </c>
      <c r="P48" s="34">
        <f t="shared" si="1"/>
        <v>4.5666694641113281E-3</v>
      </c>
      <c r="Q48" s="35"/>
      <c r="R48" s="35"/>
      <c r="S48" s="2"/>
      <c r="T48" s="2"/>
      <c r="U48" s="20"/>
      <c r="V48" s="20"/>
      <c r="W48" s="20"/>
      <c r="X48" s="20"/>
    </row>
    <row r="49" spans="1:24" x14ac:dyDescent="0.25">
      <c r="A49" s="22" t="s">
        <v>58</v>
      </c>
      <c r="B49" s="4">
        <f>+'[7]Planeación 2024 P&amp;K Hoja de W'!$D$152</f>
        <v>1348189693.8599594</v>
      </c>
      <c r="C49" s="4">
        <f>+B49/12</f>
        <v>112349141.15499662</v>
      </c>
      <c r="D49" s="4">
        <f>+C49</f>
        <v>112349141.15499662</v>
      </c>
      <c r="E49" s="4">
        <f t="shared" ref="E49:N49" si="21">+D49</f>
        <v>112349141.15499662</v>
      </c>
      <c r="F49" s="4">
        <f t="shared" si="21"/>
        <v>112349141.15499662</v>
      </c>
      <c r="G49" s="4">
        <f t="shared" si="21"/>
        <v>112349141.15499662</v>
      </c>
      <c r="H49" s="4">
        <f t="shared" si="21"/>
        <v>112349141.15499662</v>
      </c>
      <c r="I49" s="4">
        <f t="shared" si="21"/>
        <v>112349141.15499662</v>
      </c>
      <c r="J49" s="4">
        <f t="shared" si="21"/>
        <v>112349141.15499662</v>
      </c>
      <c r="K49" s="4">
        <f t="shared" si="21"/>
        <v>112349141.15499662</v>
      </c>
      <c r="L49" s="4">
        <f t="shared" si="21"/>
        <v>112349141.15499662</v>
      </c>
      <c r="M49" s="4">
        <f t="shared" si="21"/>
        <v>112349141.15499662</v>
      </c>
      <c r="N49" s="4">
        <f t="shared" si="21"/>
        <v>112349141.15499662</v>
      </c>
      <c r="O49" s="4">
        <f t="shared" ref="O49:O142" si="22">SUM(C49:N49)</f>
        <v>1348189693.8599594</v>
      </c>
      <c r="P49" s="34">
        <f t="shared" si="1"/>
        <v>0</v>
      </c>
      <c r="Q49" s="38"/>
      <c r="R49" s="38"/>
      <c r="S49" s="2"/>
      <c r="T49" s="37"/>
      <c r="U49" s="20"/>
      <c r="V49" s="20"/>
      <c r="W49" s="20"/>
      <c r="X49" s="20"/>
    </row>
    <row r="50" spans="1:24" ht="45" x14ac:dyDescent="0.25">
      <c r="A50" s="21" t="s">
        <v>65</v>
      </c>
      <c r="B50" s="4"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2"/>
        <v>0</v>
      </c>
      <c r="P50" s="34">
        <f t="shared" si="1"/>
        <v>0</v>
      </c>
      <c r="Q50" s="38"/>
      <c r="R50" s="38"/>
      <c r="S50" s="2"/>
      <c r="T50" s="37"/>
      <c r="U50" s="20"/>
      <c r="V50" s="20"/>
    </row>
    <row r="51" spans="1:24" x14ac:dyDescent="0.25">
      <c r="A51" s="58" t="s">
        <v>16</v>
      </c>
      <c r="B51" s="10">
        <f>+B52</f>
        <v>26027616</v>
      </c>
      <c r="C51" s="10">
        <f t="shared" ref="C51:O51" si="23">+C52</f>
        <v>26027616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26027616</v>
      </c>
      <c r="P51" s="34">
        <f t="shared" si="1"/>
        <v>0</v>
      </c>
      <c r="Q51" s="38"/>
      <c r="R51" s="38"/>
      <c r="S51" s="2"/>
      <c r="T51" s="2"/>
    </row>
    <row r="52" spans="1:24" ht="90" x14ac:dyDescent="0.25">
      <c r="A52" s="21" t="s">
        <v>160</v>
      </c>
      <c r="B52" s="4">
        <f>+'[7]Planeación 2024 P&amp;K Hoja de W'!$H$128</f>
        <v>26027616</v>
      </c>
      <c r="C52" s="4">
        <v>26027616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f t="shared" si="22"/>
        <v>26027616</v>
      </c>
      <c r="P52" s="34">
        <f t="shared" si="1"/>
        <v>0</v>
      </c>
      <c r="Q52" s="38"/>
      <c r="R52" s="38"/>
      <c r="S52" s="2"/>
      <c r="T52" s="2"/>
    </row>
    <row r="53" spans="1:24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4">
        <f t="shared" si="1"/>
        <v>0</v>
      </c>
      <c r="Q53" s="38"/>
      <c r="R53" s="38"/>
      <c r="S53" s="2"/>
      <c r="T53" s="2"/>
    </row>
    <row r="54" spans="1:24" x14ac:dyDescent="0.25">
      <c r="A54" s="58" t="s">
        <v>17</v>
      </c>
      <c r="B54" s="10">
        <f>SUM(B55:B56)</f>
        <v>727386570</v>
      </c>
      <c r="C54" s="10">
        <f t="shared" ref="C54:O54" si="24">SUM(C55:C56)</f>
        <v>61474815</v>
      </c>
      <c r="D54" s="10">
        <f t="shared" si="24"/>
        <v>59412573</v>
      </c>
      <c r="E54" s="10">
        <f t="shared" si="24"/>
        <v>60443694</v>
      </c>
      <c r="F54" s="10">
        <f t="shared" si="24"/>
        <v>60443694</v>
      </c>
      <c r="G54" s="10">
        <f t="shared" si="24"/>
        <v>61474815</v>
      </c>
      <c r="H54" s="10">
        <f t="shared" si="24"/>
        <v>60443694</v>
      </c>
      <c r="I54" s="10">
        <f t="shared" si="24"/>
        <v>61474815</v>
      </c>
      <c r="J54" s="10">
        <f t="shared" si="24"/>
        <v>60443694</v>
      </c>
      <c r="K54" s="10">
        <f t="shared" si="24"/>
        <v>60443694</v>
      </c>
      <c r="L54" s="10">
        <f t="shared" si="24"/>
        <v>60443694</v>
      </c>
      <c r="M54" s="10">
        <f t="shared" si="24"/>
        <v>60443694</v>
      </c>
      <c r="N54" s="10">
        <f t="shared" si="24"/>
        <v>60443694</v>
      </c>
      <c r="O54" s="10">
        <f t="shared" si="24"/>
        <v>727386570</v>
      </c>
      <c r="P54" s="34">
        <f t="shared" si="1"/>
        <v>0</v>
      </c>
      <c r="Q54" s="38"/>
      <c r="R54" s="38"/>
      <c r="S54" s="2"/>
      <c r="T54" s="2"/>
    </row>
    <row r="55" spans="1:24" ht="60" x14ac:dyDescent="0.25">
      <c r="A55" s="57" t="s">
        <v>151</v>
      </c>
      <c r="B55" s="4">
        <f>+'[7]Planeación 2024 P&amp;K Hoja de W'!$H$117</f>
        <v>552096000</v>
      </c>
      <c r="C55" s="4">
        <v>46008000</v>
      </c>
      <c r="D55" s="4">
        <v>46008000</v>
      </c>
      <c r="E55" s="4">
        <v>46008000</v>
      </c>
      <c r="F55" s="4">
        <v>46008000</v>
      </c>
      <c r="G55" s="4">
        <v>46008000</v>
      </c>
      <c r="H55" s="4">
        <v>46008000</v>
      </c>
      <c r="I55" s="4">
        <v>46008000</v>
      </c>
      <c r="J55" s="4">
        <v>46008000</v>
      </c>
      <c r="K55" s="4">
        <v>46008000</v>
      </c>
      <c r="L55" s="4">
        <v>46008000</v>
      </c>
      <c r="M55" s="4">
        <v>46008000</v>
      </c>
      <c r="N55" s="4">
        <v>46008000</v>
      </c>
      <c r="O55" s="4">
        <f t="shared" si="22"/>
        <v>552096000</v>
      </c>
      <c r="P55" s="34"/>
      <c r="Q55" s="38"/>
      <c r="R55" s="38"/>
      <c r="S55" s="2"/>
      <c r="T55" s="2"/>
    </row>
    <row r="56" spans="1:24" ht="48" x14ac:dyDescent="0.25">
      <c r="A56" s="57" t="s">
        <v>156</v>
      </c>
      <c r="B56" s="4">
        <f>+'[7]Planeación 2024 P&amp;K Hoja de W'!$H$122</f>
        <v>175290570</v>
      </c>
      <c r="C56" s="64">
        <v>15466815</v>
      </c>
      <c r="D56" s="64">
        <v>13404573</v>
      </c>
      <c r="E56" s="64">
        <v>14435694</v>
      </c>
      <c r="F56" s="64">
        <v>14435694</v>
      </c>
      <c r="G56" s="64">
        <v>15466815</v>
      </c>
      <c r="H56" s="64">
        <v>14435694</v>
      </c>
      <c r="I56" s="64">
        <v>15466815</v>
      </c>
      <c r="J56" s="64">
        <v>14435694</v>
      </c>
      <c r="K56" s="64">
        <v>14435694</v>
      </c>
      <c r="L56" s="64">
        <v>14435694</v>
      </c>
      <c r="M56" s="64">
        <v>14435694</v>
      </c>
      <c r="N56" s="64">
        <v>14435694</v>
      </c>
      <c r="O56" s="4">
        <f t="shared" si="22"/>
        <v>175290570</v>
      </c>
      <c r="P56" s="34">
        <f t="shared" si="1"/>
        <v>0</v>
      </c>
      <c r="Q56" s="38"/>
      <c r="R56" s="38"/>
      <c r="S56" s="2"/>
      <c r="T56" s="2"/>
    </row>
    <row r="57" spans="1:24" hidden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4">
        <f t="shared" si="1"/>
        <v>0</v>
      </c>
      <c r="Q57" s="38"/>
      <c r="R57" s="38"/>
      <c r="S57" s="2"/>
      <c r="T57" s="2"/>
    </row>
    <row r="58" spans="1:24" x14ac:dyDescent="0.25">
      <c r="A58" s="58" t="s">
        <v>7</v>
      </c>
      <c r="B58" s="10">
        <f>SUM(B59:B71)</f>
        <v>517785306.57200003</v>
      </c>
      <c r="C58" s="10">
        <f t="shared" ref="C58:O58" si="25">SUM(C59:C71)</f>
        <v>39598775.880999997</v>
      </c>
      <c r="D58" s="10">
        <f t="shared" si="25"/>
        <v>50098775.880999997</v>
      </c>
      <c r="E58" s="10">
        <f t="shared" si="25"/>
        <v>39798775.880999997</v>
      </c>
      <c r="F58" s="10">
        <f t="shared" si="25"/>
        <v>35598775.880999997</v>
      </c>
      <c r="G58" s="10">
        <f t="shared" si="25"/>
        <v>50598775.880999997</v>
      </c>
      <c r="H58" s="10">
        <f t="shared" si="25"/>
        <v>44598775.881000005</v>
      </c>
      <c r="I58" s="10">
        <f t="shared" si="25"/>
        <v>53798775.880999997</v>
      </c>
      <c r="J58" s="10">
        <f t="shared" si="25"/>
        <v>32598775.881000001</v>
      </c>
      <c r="K58" s="10">
        <f t="shared" si="25"/>
        <v>50598775.880999997</v>
      </c>
      <c r="L58" s="10">
        <f t="shared" si="25"/>
        <v>35098775.880999997</v>
      </c>
      <c r="M58" s="10">
        <f t="shared" si="25"/>
        <v>33798775.880999997</v>
      </c>
      <c r="N58" s="10">
        <f t="shared" si="25"/>
        <v>51598771.881000005</v>
      </c>
      <c r="O58" s="10">
        <f t="shared" si="25"/>
        <v>517785306.57200003</v>
      </c>
      <c r="P58" s="34">
        <f t="shared" si="1"/>
        <v>0</v>
      </c>
      <c r="Q58" s="38"/>
      <c r="R58" s="38"/>
      <c r="S58" s="2"/>
      <c r="T58" s="2"/>
    </row>
    <row r="59" spans="1:24" ht="48" x14ac:dyDescent="0.25">
      <c r="A59" s="61" t="s">
        <v>152</v>
      </c>
      <c r="B59" s="4">
        <f>+'[7]Planeación 2024 P&amp;K Hoja de W'!$H$118</f>
        <v>140400000</v>
      </c>
      <c r="C59" s="4">
        <v>11700000</v>
      </c>
      <c r="D59" s="4">
        <f>+C59</f>
        <v>11700000</v>
      </c>
      <c r="E59" s="4">
        <f>+D59</f>
        <v>11700000</v>
      </c>
      <c r="F59" s="4">
        <f t="shared" ref="F59:N59" si="26">+E59</f>
        <v>11700000</v>
      </c>
      <c r="G59" s="4">
        <f t="shared" si="26"/>
        <v>11700000</v>
      </c>
      <c r="H59" s="4">
        <f t="shared" si="26"/>
        <v>11700000</v>
      </c>
      <c r="I59" s="4">
        <f t="shared" si="26"/>
        <v>11700000</v>
      </c>
      <c r="J59" s="4">
        <f t="shared" si="26"/>
        <v>11700000</v>
      </c>
      <c r="K59" s="4">
        <f t="shared" si="26"/>
        <v>11700000</v>
      </c>
      <c r="L59" s="4">
        <f t="shared" si="26"/>
        <v>11700000</v>
      </c>
      <c r="M59" s="4">
        <f t="shared" si="26"/>
        <v>11700000</v>
      </c>
      <c r="N59" s="4">
        <f t="shared" si="26"/>
        <v>11700000</v>
      </c>
      <c r="O59" s="4">
        <f t="shared" si="22"/>
        <v>140400000</v>
      </c>
      <c r="P59" s="34">
        <f t="shared" si="1"/>
        <v>0</v>
      </c>
      <c r="Q59" s="38"/>
      <c r="R59" s="38"/>
      <c r="S59" s="2"/>
      <c r="T59" s="2"/>
    </row>
    <row r="60" spans="1:24" ht="60" x14ac:dyDescent="0.25">
      <c r="A60" s="57" t="s">
        <v>153</v>
      </c>
      <c r="B60" s="4">
        <f>+'[7]Planeación 2024 P&amp;K Hoja de W'!$H$119</f>
        <v>14000000</v>
      </c>
      <c r="C60" s="4">
        <v>3000000</v>
      </c>
      <c r="D60" s="4">
        <v>1000000</v>
      </c>
      <c r="E60" s="4">
        <f>+D60</f>
        <v>1000000</v>
      </c>
      <c r="F60" s="4">
        <f t="shared" ref="F60:N60" si="27">+E60</f>
        <v>1000000</v>
      </c>
      <c r="G60" s="4">
        <f t="shared" si="27"/>
        <v>1000000</v>
      </c>
      <c r="H60" s="4">
        <f t="shared" si="27"/>
        <v>1000000</v>
      </c>
      <c r="I60" s="4">
        <f t="shared" si="27"/>
        <v>1000000</v>
      </c>
      <c r="J60" s="4">
        <f t="shared" si="27"/>
        <v>1000000</v>
      </c>
      <c r="K60" s="4">
        <f t="shared" si="27"/>
        <v>1000000</v>
      </c>
      <c r="L60" s="4">
        <f t="shared" si="27"/>
        <v>1000000</v>
      </c>
      <c r="M60" s="4">
        <f t="shared" si="27"/>
        <v>1000000</v>
      </c>
      <c r="N60" s="4">
        <f t="shared" si="27"/>
        <v>1000000</v>
      </c>
      <c r="O60" s="4">
        <f t="shared" si="22"/>
        <v>14000000</v>
      </c>
      <c r="P60" s="34">
        <f t="shared" si="1"/>
        <v>0</v>
      </c>
      <c r="Q60" s="38"/>
      <c r="R60" s="38"/>
      <c r="S60" s="2"/>
      <c r="T60" s="2"/>
    </row>
    <row r="61" spans="1:24" ht="48" x14ac:dyDescent="0.25">
      <c r="A61" s="61" t="s">
        <v>154</v>
      </c>
      <c r="B61" s="4">
        <f>+'[7]Planeación 2024 P&amp;K Hoja de W'!$H$120</f>
        <v>88000000</v>
      </c>
      <c r="C61" s="64">
        <v>12000000</v>
      </c>
      <c r="D61" s="64">
        <v>8000000</v>
      </c>
      <c r="E61" s="64">
        <v>8000000</v>
      </c>
      <c r="F61" s="64">
        <v>6000000</v>
      </c>
      <c r="G61" s="64">
        <v>6000000</v>
      </c>
      <c r="H61" s="64">
        <v>6000000</v>
      </c>
      <c r="I61" s="64">
        <v>6000000</v>
      </c>
      <c r="J61" s="64">
        <v>6000000</v>
      </c>
      <c r="K61" s="64">
        <v>6000000</v>
      </c>
      <c r="L61" s="64">
        <v>6000000</v>
      </c>
      <c r="M61" s="64">
        <v>6000000</v>
      </c>
      <c r="N61" s="64">
        <v>12000000</v>
      </c>
      <c r="O61" s="4">
        <f t="shared" si="22"/>
        <v>88000000</v>
      </c>
      <c r="P61" s="34">
        <f t="shared" si="1"/>
        <v>0</v>
      </c>
      <c r="Q61" s="38"/>
      <c r="R61" s="38"/>
      <c r="S61" s="2"/>
      <c r="T61" s="2"/>
    </row>
    <row r="62" spans="1:24" ht="48" x14ac:dyDescent="0.25">
      <c r="A62" s="61" t="s">
        <v>155</v>
      </c>
      <c r="B62" s="4">
        <f>+'[7]Planeación 2024 P&amp;K Hoja de W'!$H$121</f>
        <v>7000000</v>
      </c>
      <c r="C62" s="64">
        <v>1000000</v>
      </c>
      <c r="D62" s="64">
        <v>0</v>
      </c>
      <c r="E62" s="64">
        <v>0</v>
      </c>
      <c r="F62" s="64">
        <v>2000000</v>
      </c>
      <c r="G62" s="64">
        <v>0</v>
      </c>
      <c r="H62" s="64">
        <v>0</v>
      </c>
      <c r="I62" s="64">
        <v>0</v>
      </c>
      <c r="J62" s="64">
        <v>2000000</v>
      </c>
      <c r="K62" s="64">
        <v>0</v>
      </c>
      <c r="L62" s="64">
        <v>0</v>
      </c>
      <c r="M62" s="64">
        <v>2000000</v>
      </c>
      <c r="N62" s="64">
        <v>0</v>
      </c>
      <c r="O62" s="4">
        <f t="shared" si="22"/>
        <v>7000000</v>
      </c>
      <c r="P62" s="34">
        <f t="shared" si="1"/>
        <v>0</v>
      </c>
      <c r="Q62" s="38"/>
      <c r="R62" s="38"/>
      <c r="S62" s="2"/>
      <c r="T62" s="2"/>
    </row>
    <row r="63" spans="1:24" ht="36" x14ac:dyDescent="0.25">
      <c r="A63" s="61" t="s">
        <v>157</v>
      </c>
      <c r="B63" s="4">
        <f>+'[7]Planeación 2024 P&amp;K Hoja de W'!$H$123+'[7]Planeación 2024 P&amp;K Hoja de W'!$H$124+'[7]Planeación 2024 P&amp;K Hoja de W'!$H$127</f>
        <v>52600000</v>
      </c>
      <c r="C63" s="4">
        <v>1666667</v>
      </c>
      <c r="D63" s="4">
        <v>1666667</v>
      </c>
      <c r="E63" s="4">
        <f>1200000+1666667</f>
        <v>2866667</v>
      </c>
      <c r="F63" s="4">
        <v>1666667</v>
      </c>
      <c r="G63" s="4">
        <v>1666667</v>
      </c>
      <c r="H63" s="4">
        <f>14000000+1666667</f>
        <v>15666667</v>
      </c>
      <c r="I63" s="4">
        <f>1200000+1666667</f>
        <v>2866667</v>
      </c>
      <c r="J63" s="4">
        <v>1666667</v>
      </c>
      <c r="K63" s="4">
        <v>1666667</v>
      </c>
      <c r="L63" s="4">
        <v>1666667</v>
      </c>
      <c r="M63" s="4">
        <f>1200000+1666667</f>
        <v>2866667</v>
      </c>
      <c r="N63" s="4">
        <f>15000000+1666663</f>
        <v>16666663</v>
      </c>
      <c r="O63" s="4">
        <f t="shared" si="22"/>
        <v>52600000</v>
      </c>
      <c r="P63" s="34">
        <f t="shared" si="1"/>
        <v>0</v>
      </c>
      <c r="Q63" s="38"/>
      <c r="R63" s="38"/>
      <c r="S63" s="2"/>
      <c r="T63" s="2"/>
    </row>
    <row r="64" spans="1:24" ht="60" x14ac:dyDescent="0.25">
      <c r="A64" s="57" t="s">
        <v>158</v>
      </c>
      <c r="B64" s="4">
        <f>+'[7]Planeación 2024 P&amp;K Hoja de W'!$H$125</f>
        <v>44455542.851999998</v>
      </c>
      <c r="C64" s="4">
        <f>+B64/12</f>
        <v>3704628.571</v>
      </c>
      <c r="D64" s="4">
        <f>+C64</f>
        <v>3704628.571</v>
      </c>
      <c r="E64" s="4">
        <f t="shared" ref="E64:N64" si="28">+D64</f>
        <v>3704628.571</v>
      </c>
      <c r="F64" s="4">
        <f t="shared" si="28"/>
        <v>3704628.571</v>
      </c>
      <c r="G64" s="4">
        <f t="shared" si="28"/>
        <v>3704628.571</v>
      </c>
      <c r="H64" s="4">
        <f t="shared" si="28"/>
        <v>3704628.571</v>
      </c>
      <c r="I64" s="4">
        <f t="shared" si="28"/>
        <v>3704628.571</v>
      </c>
      <c r="J64" s="4">
        <f t="shared" si="28"/>
        <v>3704628.571</v>
      </c>
      <c r="K64" s="4">
        <f t="shared" si="28"/>
        <v>3704628.571</v>
      </c>
      <c r="L64" s="4">
        <f t="shared" si="28"/>
        <v>3704628.571</v>
      </c>
      <c r="M64" s="4">
        <f t="shared" si="28"/>
        <v>3704628.571</v>
      </c>
      <c r="N64" s="4">
        <f t="shared" si="28"/>
        <v>3704628.571</v>
      </c>
      <c r="O64" s="4">
        <f t="shared" si="22"/>
        <v>44455542.851999998</v>
      </c>
      <c r="P64" s="34">
        <f t="shared" si="1"/>
        <v>0</v>
      </c>
      <c r="Q64" s="38"/>
      <c r="R64" s="38"/>
      <c r="S64" s="2"/>
      <c r="T64" s="2"/>
    </row>
    <row r="65" spans="1:20" ht="60" x14ac:dyDescent="0.25">
      <c r="A65" s="57" t="s">
        <v>159</v>
      </c>
      <c r="B65" s="4">
        <f>+'[7]Planeación 2024 P&amp;K Hoja de W'!$H$126</f>
        <v>60000000</v>
      </c>
      <c r="C65" s="64">
        <v>0</v>
      </c>
      <c r="D65" s="64">
        <v>0</v>
      </c>
      <c r="E65" s="64">
        <v>0</v>
      </c>
      <c r="F65" s="64">
        <v>0</v>
      </c>
      <c r="G65" s="4">
        <v>20000000</v>
      </c>
      <c r="H65" s="64">
        <v>0</v>
      </c>
      <c r="I65" s="4">
        <v>20000000</v>
      </c>
      <c r="J65" s="64">
        <v>0</v>
      </c>
      <c r="K65" s="4">
        <v>20000000</v>
      </c>
      <c r="L65" s="64">
        <v>0</v>
      </c>
      <c r="M65" s="64">
        <v>0</v>
      </c>
      <c r="N65" s="64">
        <v>0</v>
      </c>
      <c r="O65" s="4">
        <f t="shared" si="22"/>
        <v>60000000</v>
      </c>
      <c r="P65" s="34">
        <f t="shared" si="1"/>
        <v>0</v>
      </c>
      <c r="Q65" s="38"/>
      <c r="R65" s="38"/>
      <c r="S65" s="2"/>
      <c r="T65" s="2"/>
    </row>
    <row r="66" spans="1:20" ht="24" x14ac:dyDescent="0.25">
      <c r="A66" s="61" t="s">
        <v>161</v>
      </c>
      <c r="B66" s="4">
        <f>+'[7]Planeación 2024 P&amp;K Hoja de W'!$H$129</f>
        <v>6000000</v>
      </c>
      <c r="C66" s="64">
        <v>0</v>
      </c>
      <c r="D66" s="64">
        <v>0</v>
      </c>
      <c r="E66" s="4">
        <v>6000000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4">
        <f t="shared" si="22"/>
        <v>6000000</v>
      </c>
      <c r="P66" s="34">
        <f t="shared" si="1"/>
        <v>0</v>
      </c>
      <c r="Q66" s="38"/>
      <c r="R66" s="38"/>
      <c r="S66" s="2"/>
      <c r="T66" s="2"/>
    </row>
    <row r="67" spans="1:20" ht="60" x14ac:dyDescent="0.25">
      <c r="A67" s="57" t="s">
        <v>162</v>
      </c>
      <c r="B67" s="4">
        <f>+'[7]Planeación 2024 P&amp;K Hoja de W'!$H$130</f>
        <v>78329763.720000014</v>
      </c>
      <c r="C67" s="4">
        <f>+B67/12</f>
        <v>6527480.3100000015</v>
      </c>
      <c r="D67" s="4">
        <f>+C67</f>
        <v>6527480.3100000015</v>
      </c>
      <c r="E67" s="4">
        <f t="shared" ref="E67:N67" si="29">+D67</f>
        <v>6527480.3100000015</v>
      </c>
      <c r="F67" s="4">
        <f t="shared" si="29"/>
        <v>6527480.3100000015</v>
      </c>
      <c r="G67" s="4">
        <f t="shared" si="29"/>
        <v>6527480.3100000015</v>
      </c>
      <c r="H67" s="4">
        <f t="shared" si="29"/>
        <v>6527480.3100000015</v>
      </c>
      <c r="I67" s="4">
        <f t="shared" si="29"/>
        <v>6527480.3100000015</v>
      </c>
      <c r="J67" s="4">
        <f t="shared" si="29"/>
        <v>6527480.3100000015</v>
      </c>
      <c r="K67" s="4">
        <f t="shared" si="29"/>
        <v>6527480.3100000015</v>
      </c>
      <c r="L67" s="4">
        <f t="shared" si="29"/>
        <v>6527480.3100000015</v>
      </c>
      <c r="M67" s="4">
        <f t="shared" si="29"/>
        <v>6527480.3100000015</v>
      </c>
      <c r="N67" s="4">
        <f t="shared" si="29"/>
        <v>6527480.3100000015</v>
      </c>
      <c r="O67" s="4">
        <f t="shared" si="22"/>
        <v>78329763.720000014</v>
      </c>
      <c r="P67" s="34">
        <f t="shared" si="1"/>
        <v>0</v>
      </c>
      <c r="Q67" s="38"/>
      <c r="R67" s="38"/>
      <c r="S67" s="2"/>
      <c r="T67" s="2"/>
    </row>
    <row r="68" spans="1:20" ht="36" x14ac:dyDescent="0.25">
      <c r="A68" s="57" t="s">
        <v>163</v>
      </c>
      <c r="B68" s="4">
        <f>+'[7]Planeación 2024 P&amp;K Hoja de W'!$H$131</f>
        <v>7000000</v>
      </c>
      <c r="C68" s="4"/>
      <c r="D68" s="4"/>
      <c r="E68" s="4"/>
      <c r="F68" s="4">
        <v>3000000</v>
      </c>
      <c r="G68" s="4"/>
      <c r="H68" s="4"/>
      <c r="I68" s="4">
        <v>2000000</v>
      </c>
      <c r="J68" s="4"/>
      <c r="K68" s="4"/>
      <c r="L68" s="4">
        <v>2000000</v>
      </c>
      <c r="M68" s="4"/>
      <c r="N68" s="4"/>
      <c r="O68" s="4">
        <f t="shared" si="22"/>
        <v>7000000</v>
      </c>
      <c r="P68" s="34">
        <f t="shared" si="1"/>
        <v>0</v>
      </c>
      <c r="Q68" s="38"/>
      <c r="R68" s="38"/>
      <c r="S68" s="2"/>
      <c r="T68" s="2"/>
    </row>
    <row r="69" spans="1:20" hidden="1" x14ac:dyDescent="0.25">
      <c r="P69" s="34">
        <f>+O76-B76</f>
        <v>0</v>
      </c>
      <c r="Q69" s="38"/>
      <c r="R69" s="38"/>
      <c r="S69" s="2"/>
      <c r="T69" s="2"/>
    </row>
    <row r="70" spans="1:20" ht="60" x14ac:dyDescent="0.25">
      <c r="A70" s="57" t="s">
        <v>165</v>
      </c>
      <c r="B70" s="4">
        <f>+'[7]Planeación 2024 P&amp;K Hoja de W'!$H$133</f>
        <v>5000000</v>
      </c>
      <c r="C70" s="4"/>
      <c r="D70" s="65">
        <v>2500000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2500000</v>
      </c>
      <c r="M70" s="4"/>
      <c r="N70" s="4"/>
      <c r="O70" s="4">
        <f t="shared" si="22"/>
        <v>5000000</v>
      </c>
      <c r="P70" s="34">
        <f t="shared" si="1"/>
        <v>0</v>
      </c>
      <c r="Q70" s="38"/>
      <c r="R70" s="38"/>
      <c r="S70" s="2"/>
      <c r="T70" s="2"/>
    </row>
    <row r="71" spans="1:20" ht="24.75" x14ac:dyDescent="0.25">
      <c r="A71" s="62" t="s">
        <v>166</v>
      </c>
      <c r="B71" s="4">
        <f>+'[7]Planeación 2024 P&amp;K Hoja de W'!$H$134</f>
        <v>15000000</v>
      </c>
      <c r="C71" s="4"/>
      <c r="D71" s="4">
        <v>15000000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f t="shared" si="22"/>
        <v>15000000</v>
      </c>
      <c r="P71" s="34">
        <f t="shared" ref="P71:P133" si="30">+O71-B71</f>
        <v>0</v>
      </c>
      <c r="Q71" s="38"/>
      <c r="R71" s="38"/>
      <c r="S71" s="2"/>
      <c r="T71" s="2"/>
    </row>
    <row r="72" spans="1:20" x14ac:dyDescent="0.25">
      <c r="A72" s="58" t="s">
        <v>57</v>
      </c>
      <c r="B72" s="10">
        <f>SUM(B73:B77)</f>
        <v>100020000</v>
      </c>
      <c r="C72" s="10">
        <f t="shared" ref="C72:O72" si="31">SUM(C73:C77)</f>
        <v>615000</v>
      </c>
      <c r="D72" s="10">
        <f t="shared" si="31"/>
        <v>2115000</v>
      </c>
      <c r="E72" s="10">
        <f t="shared" si="31"/>
        <v>1755000</v>
      </c>
      <c r="F72" s="10">
        <f t="shared" si="31"/>
        <v>615000</v>
      </c>
      <c r="G72" s="10">
        <f t="shared" si="31"/>
        <v>615000</v>
      </c>
      <c r="H72" s="10">
        <f t="shared" si="31"/>
        <v>615000</v>
      </c>
      <c r="I72" s="10">
        <f t="shared" si="31"/>
        <v>615000</v>
      </c>
      <c r="J72" s="10">
        <f t="shared" si="31"/>
        <v>615000</v>
      </c>
      <c r="K72" s="10">
        <f t="shared" si="31"/>
        <v>615000</v>
      </c>
      <c r="L72" s="10">
        <f t="shared" si="31"/>
        <v>615000</v>
      </c>
      <c r="M72" s="10">
        <f t="shared" si="31"/>
        <v>615000</v>
      </c>
      <c r="N72" s="10">
        <f t="shared" si="31"/>
        <v>90615000</v>
      </c>
      <c r="O72" s="10">
        <f t="shared" si="31"/>
        <v>100020000</v>
      </c>
      <c r="P72" s="34">
        <f t="shared" si="30"/>
        <v>0</v>
      </c>
      <c r="Q72" s="38"/>
      <c r="R72" s="38"/>
      <c r="S72" s="2"/>
      <c r="T72" s="2"/>
    </row>
    <row r="73" spans="1:20" x14ac:dyDescent="0.25">
      <c r="A73" s="63" t="s">
        <v>167</v>
      </c>
      <c r="B73" s="4">
        <f>+'[7]Planeación 2024 P&amp;K Hoja de W'!$H$135</f>
        <v>50000000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v>50000000</v>
      </c>
      <c r="O73" s="4">
        <f t="shared" si="22"/>
        <v>50000000</v>
      </c>
      <c r="P73" s="34">
        <f t="shared" si="30"/>
        <v>0</v>
      </c>
      <c r="Q73" s="38"/>
      <c r="R73" s="38"/>
      <c r="S73" s="2"/>
      <c r="T73" s="2"/>
    </row>
    <row r="74" spans="1:20" x14ac:dyDescent="0.25">
      <c r="A74" s="6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f t="shared" si="22"/>
        <v>0</v>
      </c>
      <c r="P74" s="34"/>
      <c r="Q74" s="38"/>
      <c r="R74" s="38"/>
      <c r="S74" s="2"/>
      <c r="T74" s="2"/>
    </row>
    <row r="75" spans="1:20" x14ac:dyDescent="0.25">
      <c r="A75" s="62" t="s">
        <v>168</v>
      </c>
      <c r="B75" s="4">
        <f>+'[7]Planeación 2024 P&amp;K Hoja de W'!$H$136</f>
        <v>40000000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40000000</v>
      </c>
      <c r="O75" s="4">
        <f t="shared" si="22"/>
        <v>40000000</v>
      </c>
      <c r="P75" s="34"/>
      <c r="Q75" s="38"/>
      <c r="R75" s="38"/>
      <c r="S75" s="2"/>
      <c r="T75" s="2"/>
    </row>
    <row r="76" spans="1:20" ht="60" x14ac:dyDescent="0.25">
      <c r="A76" s="57" t="s">
        <v>164</v>
      </c>
      <c r="B76" s="4">
        <f>+'[7]Planeación 2024 P&amp;K Hoja de W'!$H$132</f>
        <v>2640000</v>
      </c>
      <c r="C76" s="4"/>
      <c r="D76" s="65">
        <v>1500000</v>
      </c>
      <c r="E76" s="65">
        <v>1140000</v>
      </c>
      <c r="F76" s="4"/>
      <c r="G76" s="4"/>
      <c r="H76" s="4"/>
      <c r="I76" s="4"/>
      <c r="J76" s="4"/>
      <c r="K76" s="4"/>
      <c r="L76" s="4"/>
      <c r="M76" s="4"/>
      <c r="N76" s="4"/>
      <c r="O76" s="4">
        <f>SUM(C76:N76)</f>
        <v>2640000</v>
      </c>
      <c r="P76" s="34"/>
      <c r="Q76" s="38"/>
      <c r="R76" s="38"/>
      <c r="S76" s="2"/>
      <c r="T76" s="2"/>
    </row>
    <row r="77" spans="1:20" x14ac:dyDescent="0.25">
      <c r="A77" s="59" t="s">
        <v>146</v>
      </c>
      <c r="B77" s="4">
        <f>+'[7]Planeación 2024 P&amp;K Hoja de W'!$H$137+'[7]Planeación 2024 P&amp;K Hoja de W'!$H$138+'[7]Planeación 2024 P&amp;K Hoja de W'!$H$139</f>
        <v>7380000</v>
      </c>
      <c r="C77" s="4">
        <f>+B77/12</f>
        <v>615000</v>
      </c>
      <c r="D77" s="4">
        <f>+C77</f>
        <v>615000</v>
      </c>
      <c r="E77" s="4">
        <f t="shared" ref="E77:N77" si="32">+D77</f>
        <v>615000</v>
      </c>
      <c r="F77" s="4">
        <f t="shared" si="32"/>
        <v>615000</v>
      </c>
      <c r="G77" s="4">
        <f t="shared" si="32"/>
        <v>615000</v>
      </c>
      <c r="H77" s="4">
        <f t="shared" si="32"/>
        <v>615000</v>
      </c>
      <c r="I77" s="4">
        <f t="shared" si="32"/>
        <v>615000</v>
      </c>
      <c r="J77" s="4">
        <f t="shared" si="32"/>
        <v>615000</v>
      </c>
      <c r="K77" s="4">
        <f t="shared" si="32"/>
        <v>615000</v>
      </c>
      <c r="L77" s="4">
        <f t="shared" si="32"/>
        <v>615000</v>
      </c>
      <c r="M77" s="4">
        <f t="shared" si="32"/>
        <v>615000</v>
      </c>
      <c r="N77" s="4">
        <f t="shared" si="32"/>
        <v>615000</v>
      </c>
      <c r="O77" s="4">
        <f>SUM(C77:N77)</f>
        <v>7380000</v>
      </c>
      <c r="P77" s="34"/>
      <c r="Q77" s="38"/>
      <c r="R77" s="38"/>
      <c r="S77" s="2"/>
      <c r="T77" s="2"/>
    </row>
    <row r="78" spans="1:20" hidden="1" x14ac:dyDescent="0.25">
      <c r="A78" s="6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4"/>
      <c r="Q78" s="38"/>
      <c r="R78" s="38"/>
      <c r="S78" s="2"/>
      <c r="T78" s="2"/>
    </row>
    <row r="79" spans="1:20" hidden="1" x14ac:dyDescent="0.25">
      <c r="A79" s="5" t="s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f t="shared" si="22"/>
        <v>0</v>
      </c>
      <c r="P79" s="34"/>
      <c r="Q79" s="38"/>
      <c r="R79" s="38"/>
      <c r="S79" s="2"/>
      <c r="T79" s="2"/>
    </row>
    <row r="80" spans="1:20" x14ac:dyDescent="0.25">
      <c r="A80" s="12" t="s">
        <v>52</v>
      </c>
      <c r="B80" s="8">
        <f t="shared" ref="B80:O80" si="33">+B72+B58+B54+B51+B49</f>
        <v>2719409186.4319592</v>
      </c>
      <c r="C80" s="8">
        <f t="shared" si="33"/>
        <v>240065348.03599662</v>
      </c>
      <c r="D80" s="8">
        <f t="shared" si="33"/>
        <v>223975490.03599662</v>
      </c>
      <c r="E80" s="8">
        <f t="shared" si="33"/>
        <v>214346611.03599662</v>
      </c>
      <c r="F80" s="8">
        <f t="shared" si="33"/>
        <v>209006611.03599662</v>
      </c>
      <c r="G80" s="8">
        <f t="shared" si="33"/>
        <v>225037732.03599662</v>
      </c>
      <c r="H80" s="8">
        <f t="shared" si="33"/>
        <v>218006611.03599662</v>
      </c>
      <c r="I80" s="8">
        <f t="shared" si="33"/>
        <v>228237732.03599662</v>
      </c>
      <c r="J80" s="8">
        <f t="shared" si="33"/>
        <v>206006611.03599662</v>
      </c>
      <c r="K80" s="8">
        <f t="shared" si="33"/>
        <v>224006611.03599662</v>
      </c>
      <c r="L80" s="8">
        <f t="shared" si="33"/>
        <v>208506611.03599662</v>
      </c>
      <c r="M80" s="8">
        <f t="shared" si="33"/>
        <v>207206611.03599662</v>
      </c>
      <c r="N80" s="8">
        <f t="shared" si="33"/>
        <v>315006607.03599662</v>
      </c>
      <c r="O80" s="8">
        <f t="shared" si="33"/>
        <v>2719409186.4319592</v>
      </c>
      <c r="P80" s="34"/>
      <c r="Q80" s="39"/>
      <c r="R80" s="39"/>
      <c r="S80" s="2"/>
    </row>
    <row r="81" spans="1:23" x14ac:dyDescent="0.25">
      <c r="A81" s="5" t="s">
        <v>54</v>
      </c>
      <c r="B81" s="4">
        <f>+'[7]Planeación 2024 P&amp;K Hoja de W'!$D$103</f>
        <v>321558151.11005127</v>
      </c>
      <c r="C81" s="4">
        <f>+B81/12</f>
        <v>26796512.592504274</v>
      </c>
      <c r="D81" s="4">
        <f>+C81</f>
        <v>26796512.592504274</v>
      </c>
      <c r="E81" s="4">
        <f t="shared" ref="E81:N81" si="34">+D81</f>
        <v>26796512.592504274</v>
      </c>
      <c r="F81" s="4">
        <f t="shared" si="34"/>
        <v>26796512.592504274</v>
      </c>
      <c r="G81" s="4">
        <f t="shared" si="34"/>
        <v>26796512.592504274</v>
      </c>
      <c r="H81" s="4">
        <f t="shared" si="34"/>
        <v>26796512.592504274</v>
      </c>
      <c r="I81" s="4">
        <f t="shared" si="34"/>
        <v>26796512.592504274</v>
      </c>
      <c r="J81" s="4">
        <f t="shared" si="34"/>
        <v>26796512.592504274</v>
      </c>
      <c r="K81" s="4">
        <f t="shared" si="34"/>
        <v>26796512.592504274</v>
      </c>
      <c r="L81" s="4">
        <f t="shared" si="34"/>
        <v>26796512.592504274</v>
      </c>
      <c r="M81" s="4">
        <f t="shared" si="34"/>
        <v>26796512.592504274</v>
      </c>
      <c r="N81" s="4">
        <f t="shared" si="34"/>
        <v>26796512.592504274</v>
      </c>
      <c r="O81" s="4">
        <f t="shared" si="22"/>
        <v>321558151.11005121</v>
      </c>
      <c r="P81" s="34">
        <f t="shared" si="30"/>
        <v>0</v>
      </c>
      <c r="Q81" s="38"/>
      <c r="R81" s="38"/>
      <c r="S81" s="2"/>
      <c r="T81" s="2"/>
      <c r="W81" s="2"/>
    </row>
    <row r="82" spans="1:23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4"/>
      <c r="Q82" s="38"/>
      <c r="R82" s="38"/>
      <c r="S82" s="2"/>
      <c r="T82" s="2"/>
      <c r="W82" s="2"/>
    </row>
    <row r="83" spans="1:23" x14ac:dyDescent="0.25">
      <c r="A83" s="5" t="s">
        <v>55</v>
      </c>
      <c r="B83" s="67">
        <f>+'[7]Planeación 2024 P&amp;K Hoja de W'!$D$176</f>
        <v>260086854.6773397</v>
      </c>
      <c r="C83" s="4">
        <f>+B83/12</f>
        <v>21673904.556444976</v>
      </c>
      <c r="D83" s="4">
        <f>+C83</f>
        <v>21673904.556444976</v>
      </c>
      <c r="E83" s="4">
        <f t="shared" ref="E83:N85" si="35">+D83</f>
        <v>21673904.556444976</v>
      </c>
      <c r="F83" s="4">
        <f t="shared" si="35"/>
        <v>21673904.556444976</v>
      </c>
      <c r="G83" s="4">
        <f t="shared" si="35"/>
        <v>21673904.556444976</v>
      </c>
      <c r="H83" s="4">
        <f t="shared" si="35"/>
        <v>21673904.556444976</v>
      </c>
      <c r="I83" s="4">
        <f t="shared" si="35"/>
        <v>21673904.556444976</v>
      </c>
      <c r="J83" s="4">
        <f t="shared" si="35"/>
        <v>21673904.556444976</v>
      </c>
      <c r="K83" s="4">
        <f t="shared" si="35"/>
        <v>21673904.556444976</v>
      </c>
      <c r="L83" s="4">
        <f t="shared" si="35"/>
        <v>21673904.556444976</v>
      </c>
      <c r="M83" s="4">
        <f t="shared" si="35"/>
        <v>21673904.556444976</v>
      </c>
      <c r="N83" s="4">
        <f t="shared" si="35"/>
        <v>21673904.556444976</v>
      </c>
      <c r="O83" s="4">
        <f t="shared" si="22"/>
        <v>260086854.6773397</v>
      </c>
      <c r="P83" s="34">
        <f t="shared" si="30"/>
        <v>0</v>
      </c>
      <c r="Q83" s="38"/>
      <c r="R83" s="38"/>
      <c r="S83" s="2"/>
      <c r="T83" s="2"/>
      <c r="W83" s="2"/>
    </row>
    <row r="84" spans="1:23" x14ac:dyDescent="0.25">
      <c r="A84" s="5" t="s">
        <v>169</v>
      </c>
      <c r="B84" s="67">
        <f>+'[7]Planeación 2024 P&amp;K Hoja de W'!$H$154</f>
        <v>45000000</v>
      </c>
      <c r="C84" s="4">
        <v>0</v>
      </c>
      <c r="D84" s="4">
        <f>+[8]Resumennna!P363</f>
        <v>0</v>
      </c>
      <c r="E84" s="4">
        <f>+[8]Resumennna!Q363</f>
        <v>0</v>
      </c>
      <c r="F84" s="4">
        <f>+[8]Resumennna!R363</f>
        <v>0</v>
      </c>
      <c r="G84" s="4">
        <f>+[8]Resumennna!S363</f>
        <v>0</v>
      </c>
      <c r="H84" s="4">
        <v>0</v>
      </c>
      <c r="I84" s="4">
        <f>+[8]Resumennna!U363</f>
        <v>0</v>
      </c>
      <c r="J84" s="4">
        <f>+[8]Resumennna!V363</f>
        <v>0</v>
      </c>
      <c r="K84" s="4">
        <f>+[8]Resumennna!W363</f>
        <v>0</v>
      </c>
      <c r="L84" s="4">
        <v>45000000</v>
      </c>
      <c r="M84" s="4">
        <f>+[8]Resumennna!Y363</f>
        <v>0</v>
      </c>
      <c r="N84" s="4">
        <f>+[8]Resumennna!Z363</f>
        <v>0</v>
      </c>
      <c r="O84" s="4">
        <f t="shared" si="22"/>
        <v>45000000</v>
      </c>
      <c r="P84" s="34">
        <f t="shared" si="30"/>
        <v>0</v>
      </c>
      <c r="Q84" s="38"/>
      <c r="R84" s="38"/>
      <c r="S84" s="2"/>
      <c r="T84" s="2"/>
      <c r="W84" s="2"/>
    </row>
    <row r="85" spans="1:23" x14ac:dyDescent="0.25">
      <c r="A85" s="5" t="s">
        <v>18</v>
      </c>
      <c r="B85" s="67">
        <f>+'[7]Planeación 2024 P&amp;K Hoja de W'!$H$155</f>
        <v>10800000</v>
      </c>
      <c r="C85" s="4">
        <f>+B85/12</f>
        <v>900000</v>
      </c>
      <c r="D85" s="4">
        <f>+C85</f>
        <v>900000</v>
      </c>
      <c r="E85" s="4">
        <f t="shared" si="35"/>
        <v>900000</v>
      </c>
      <c r="F85" s="4">
        <f t="shared" si="35"/>
        <v>900000</v>
      </c>
      <c r="G85" s="4">
        <f t="shared" si="35"/>
        <v>900000</v>
      </c>
      <c r="H85" s="4">
        <f t="shared" si="35"/>
        <v>900000</v>
      </c>
      <c r="I85" s="4">
        <f t="shared" si="35"/>
        <v>900000</v>
      </c>
      <c r="J85" s="4">
        <f t="shared" si="35"/>
        <v>900000</v>
      </c>
      <c r="K85" s="4">
        <f t="shared" si="35"/>
        <v>900000</v>
      </c>
      <c r="L85" s="4">
        <f t="shared" si="35"/>
        <v>900000</v>
      </c>
      <c r="M85" s="4">
        <f t="shared" si="35"/>
        <v>900000</v>
      </c>
      <c r="N85" s="4">
        <f t="shared" si="35"/>
        <v>900000</v>
      </c>
      <c r="O85" s="4">
        <f t="shared" si="22"/>
        <v>10800000</v>
      </c>
      <c r="P85" s="34">
        <f t="shared" si="30"/>
        <v>0</v>
      </c>
      <c r="Q85" s="38"/>
      <c r="R85" s="38"/>
      <c r="S85" s="2"/>
      <c r="T85" s="2"/>
    </row>
    <row r="86" spans="1:23" x14ac:dyDescent="0.25">
      <c r="A86" s="5" t="s">
        <v>71</v>
      </c>
      <c r="B86" s="4">
        <f>+'[7]Planeación 2024 P&amp;K Hoja de W'!$H$61</f>
        <v>12900000</v>
      </c>
      <c r="C86" s="4">
        <f t="shared" ref="C86" si="36">+B86/12</f>
        <v>1075000</v>
      </c>
      <c r="D86" s="4">
        <f t="shared" ref="D86" si="37">+C86</f>
        <v>1075000</v>
      </c>
      <c r="E86" s="4">
        <f>+D86</f>
        <v>1075000</v>
      </c>
      <c r="F86" s="4">
        <f t="shared" ref="F86:N86" si="38">+E86</f>
        <v>1075000</v>
      </c>
      <c r="G86" s="4">
        <f t="shared" si="38"/>
        <v>1075000</v>
      </c>
      <c r="H86" s="4">
        <f t="shared" si="38"/>
        <v>1075000</v>
      </c>
      <c r="I86" s="4">
        <f t="shared" si="38"/>
        <v>1075000</v>
      </c>
      <c r="J86" s="4">
        <f t="shared" si="38"/>
        <v>1075000</v>
      </c>
      <c r="K86" s="4">
        <f t="shared" si="38"/>
        <v>1075000</v>
      </c>
      <c r="L86" s="4">
        <f t="shared" si="38"/>
        <v>1075000</v>
      </c>
      <c r="M86" s="4">
        <f t="shared" si="38"/>
        <v>1075000</v>
      </c>
      <c r="N86" s="4">
        <f t="shared" si="38"/>
        <v>1075000</v>
      </c>
      <c r="O86" s="4">
        <f t="shared" si="22"/>
        <v>12900000</v>
      </c>
      <c r="P86" s="34">
        <f t="shared" si="30"/>
        <v>0</v>
      </c>
      <c r="Q86" s="38"/>
      <c r="R86" s="38"/>
      <c r="S86" s="2"/>
      <c r="T86" s="2"/>
    </row>
    <row r="87" spans="1:23" x14ac:dyDescent="0.25">
      <c r="A87" s="5" t="s">
        <v>84</v>
      </c>
      <c r="B87" s="67">
        <f>+'[7]Planeación 2024 P&amp;K Hoja de W'!$H$164</f>
        <v>369000</v>
      </c>
      <c r="C87" s="4">
        <v>0</v>
      </c>
      <c r="D87" s="4">
        <v>0</v>
      </c>
      <c r="E87" s="4">
        <v>0</v>
      </c>
      <c r="F87" s="4">
        <v>0</v>
      </c>
      <c r="G87" s="4">
        <f t="shared" ref="G87:N88" si="39">+F87</f>
        <v>0</v>
      </c>
      <c r="H87" s="67">
        <v>369000</v>
      </c>
      <c r="I87" s="4"/>
      <c r="J87" s="4"/>
      <c r="K87" s="4"/>
      <c r="L87" s="4"/>
      <c r="M87" s="4"/>
      <c r="N87" s="4"/>
      <c r="O87" s="4">
        <f t="shared" si="22"/>
        <v>369000</v>
      </c>
      <c r="P87" s="34">
        <f t="shared" si="30"/>
        <v>0</v>
      </c>
      <c r="Q87" s="38"/>
      <c r="R87" s="38"/>
      <c r="S87" s="2"/>
      <c r="T87" s="2"/>
    </row>
    <row r="88" spans="1:23" x14ac:dyDescent="0.25">
      <c r="A88" s="5" t="s">
        <v>19</v>
      </c>
      <c r="B88" s="4">
        <f>+'[7]Planeación 2024 P&amp;K Hoja de W'!$H$63</f>
        <v>143580000</v>
      </c>
      <c r="C88" s="4">
        <f>+B88/1/12</f>
        <v>11965000</v>
      </c>
      <c r="D88" s="4">
        <f>+C88</f>
        <v>11965000</v>
      </c>
      <c r="E88" s="4">
        <f t="shared" ref="E88:F88" si="40">+D88</f>
        <v>11965000</v>
      </c>
      <c r="F88" s="4">
        <f t="shared" si="40"/>
        <v>11965000</v>
      </c>
      <c r="G88" s="4">
        <f t="shared" si="39"/>
        <v>11965000</v>
      </c>
      <c r="H88" s="4">
        <f t="shared" ref="H88" si="41">+G88</f>
        <v>11965000</v>
      </c>
      <c r="I88" s="4">
        <f t="shared" si="39"/>
        <v>11965000</v>
      </c>
      <c r="J88" s="4">
        <f t="shared" si="39"/>
        <v>11965000</v>
      </c>
      <c r="K88" s="4">
        <f t="shared" si="39"/>
        <v>11965000</v>
      </c>
      <c r="L88" s="4">
        <f t="shared" si="39"/>
        <v>11965000</v>
      </c>
      <c r="M88" s="4">
        <f t="shared" si="39"/>
        <v>11965000</v>
      </c>
      <c r="N88" s="4">
        <f t="shared" si="39"/>
        <v>11965000</v>
      </c>
      <c r="O88" s="4">
        <f t="shared" si="22"/>
        <v>143580000</v>
      </c>
      <c r="P88" s="34">
        <f t="shared" si="30"/>
        <v>0</v>
      </c>
      <c r="Q88" s="38"/>
      <c r="R88" s="38"/>
      <c r="S88" s="2"/>
      <c r="T88" s="2"/>
    </row>
    <row r="89" spans="1:23" ht="30" x14ac:dyDescent="0.25">
      <c r="A89" s="21" t="s">
        <v>89</v>
      </c>
      <c r="B89" s="4">
        <f>+'[7]Planeación 2024 P&amp;K Hoja de W'!$H$65+'[7]Planeación 2024 P&amp;K Hoja de W'!$H$79+'[7]Planeación 2024 P&amp;K Hoja de W'!$H$82</f>
        <v>55500000</v>
      </c>
      <c r="C89" s="4">
        <v>0</v>
      </c>
      <c r="D89" s="4">
        <v>0</v>
      </c>
      <c r="E89" s="4">
        <v>3000000</v>
      </c>
      <c r="F89" s="69">
        <v>3500000</v>
      </c>
      <c r="G89" s="69">
        <v>3500000</v>
      </c>
      <c r="H89" s="69">
        <v>3500000</v>
      </c>
      <c r="I89" s="69">
        <f>6500000</f>
        <v>6500000</v>
      </c>
      <c r="J89" s="69">
        <f>3500000+7500000</f>
        <v>11000000</v>
      </c>
      <c r="K89" s="69">
        <v>3500000</v>
      </c>
      <c r="L89" s="69">
        <f>3500000+7500000</f>
        <v>11000000</v>
      </c>
      <c r="M89" s="69">
        <v>6500000</v>
      </c>
      <c r="N89" s="69">
        <v>3500000</v>
      </c>
      <c r="O89" s="4">
        <f>SUM(C89:N89)</f>
        <v>55500000</v>
      </c>
      <c r="P89" s="34">
        <f t="shared" si="30"/>
        <v>0</v>
      </c>
      <c r="Q89" s="38"/>
      <c r="R89" s="38"/>
      <c r="S89" s="2"/>
      <c r="T89" s="2"/>
    </row>
    <row r="90" spans="1:23" x14ac:dyDescent="0.25">
      <c r="A90" s="5" t="s">
        <v>72</v>
      </c>
      <c r="B90" s="4">
        <f>+'[7]Planeación 2024 P&amp;K Hoja de W'!$H$83+'[7]Planeación 2024 P&amp;K Hoja de W'!$H$84+'[7]Planeación 2024 P&amp;K Hoja de W'!$H$85+'[7]Planeación 2024 P&amp;K Hoja de W'!$H$86+'[7]Planeación 2024 P&amp;K Hoja de W'!$H$87</f>
        <v>65580000</v>
      </c>
      <c r="C90" s="4">
        <f>+B90/12</f>
        <v>5465000</v>
      </c>
      <c r="D90" s="4">
        <f>+C90</f>
        <v>5465000</v>
      </c>
      <c r="E90" s="4">
        <f t="shared" ref="E90:N90" si="42">+D90</f>
        <v>5465000</v>
      </c>
      <c r="F90" s="4">
        <f t="shared" si="42"/>
        <v>5465000</v>
      </c>
      <c r="G90" s="4">
        <f t="shared" si="42"/>
        <v>5465000</v>
      </c>
      <c r="H90" s="4">
        <f t="shared" si="42"/>
        <v>5465000</v>
      </c>
      <c r="I90" s="4">
        <f t="shared" si="42"/>
        <v>5465000</v>
      </c>
      <c r="J90" s="4">
        <f t="shared" si="42"/>
        <v>5465000</v>
      </c>
      <c r="K90" s="4">
        <f t="shared" si="42"/>
        <v>5465000</v>
      </c>
      <c r="L90" s="4">
        <f t="shared" si="42"/>
        <v>5465000</v>
      </c>
      <c r="M90" s="4">
        <f t="shared" si="42"/>
        <v>5465000</v>
      </c>
      <c r="N90" s="4">
        <f t="shared" si="42"/>
        <v>5465000</v>
      </c>
      <c r="O90" s="4">
        <f t="shared" si="22"/>
        <v>65580000</v>
      </c>
      <c r="P90" s="34">
        <f t="shared" si="30"/>
        <v>0</v>
      </c>
      <c r="Q90" s="38"/>
      <c r="R90" s="38"/>
      <c r="S90" s="2"/>
      <c r="T90" s="2"/>
    </row>
    <row r="91" spans="1:23" ht="45" x14ac:dyDescent="0.25">
      <c r="A91" s="21" t="s">
        <v>65</v>
      </c>
      <c r="B91" s="4">
        <f>+'[7]Planeación 2024 P&amp;K Hoja de W'!$H$66+'[7]Planeación 2024 P&amp;K Hoja de W'!$H$91</f>
        <v>121000000</v>
      </c>
      <c r="C91" s="4">
        <v>0</v>
      </c>
      <c r="D91" s="4">
        <f>+[8]Resumennna!P317</f>
        <v>0</v>
      </c>
      <c r="E91" s="75">
        <f>28000000+16250000</f>
        <v>44250000</v>
      </c>
      <c r="F91" s="75">
        <v>0</v>
      </c>
      <c r="G91" s="75">
        <v>0</v>
      </c>
      <c r="H91" s="75">
        <v>16250000</v>
      </c>
      <c r="I91" s="75">
        <v>0</v>
      </c>
      <c r="J91" s="75">
        <v>0</v>
      </c>
      <c r="K91" s="75">
        <f>28000000+16250000</f>
        <v>44250000</v>
      </c>
      <c r="L91" s="4">
        <f>+[8]Resumennna!X317</f>
        <v>0</v>
      </c>
      <c r="M91" s="4">
        <f>+[8]Resumennna!Y317</f>
        <v>0</v>
      </c>
      <c r="N91" s="4">
        <v>16250000</v>
      </c>
      <c r="O91" s="4">
        <f t="shared" si="22"/>
        <v>121000000</v>
      </c>
      <c r="P91" s="34">
        <f t="shared" si="30"/>
        <v>0</v>
      </c>
      <c r="Q91" s="38"/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f>+[8]Resumennna!P348</f>
        <v>0</v>
      </c>
      <c r="E92" s="4">
        <f>+[8]Resumennna!Q348</f>
        <v>0</v>
      </c>
      <c r="F92" s="4">
        <v>0</v>
      </c>
      <c r="G92" s="4">
        <f>+[8]Resumennna!S348</f>
        <v>0</v>
      </c>
      <c r="H92" s="4">
        <f>+[8]Resumennna!T348</f>
        <v>0</v>
      </c>
      <c r="I92" s="4">
        <f>+[8]Resumennna!U348</f>
        <v>0</v>
      </c>
      <c r="J92" s="4">
        <f>+[8]Resumennna!V348</f>
        <v>0</v>
      </c>
      <c r="K92" s="4">
        <v>0</v>
      </c>
      <c r="L92" s="4">
        <f>+[8]Resumennna!X348</f>
        <v>0</v>
      </c>
      <c r="M92" s="4">
        <f>+[8]Resumennna!Y348</f>
        <v>0</v>
      </c>
      <c r="N92" s="4">
        <f>+[8]Resumennna!Z348</f>
        <v>0</v>
      </c>
      <c r="O92" s="4">
        <f t="shared" si="22"/>
        <v>0</v>
      </c>
      <c r="P92" s="34">
        <f t="shared" si="30"/>
        <v>0</v>
      </c>
      <c r="Q92" s="38"/>
      <c r="R92" s="38"/>
      <c r="S92" s="2"/>
      <c r="T92" s="2"/>
    </row>
    <row r="93" spans="1:23" x14ac:dyDescent="0.25">
      <c r="A93" s="5" t="s">
        <v>21</v>
      </c>
      <c r="B93" s="67">
        <f>+'[7]Planeación 2024 P&amp;K Hoja de W'!$H$160</f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69">
        <v>3500000</v>
      </c>
      <c r="J93" s="69">
        <v>3500000</v>
      </c>
      <c r="K93" s="69">
        <v>3500000</v>
      </c>
      <c r="L93" s="69">
        <v>3500000</v>
      </c>
      <c r="M93" s="69">
        <v>3500000</v>
      </c>
      <c r="N93" s="69">
        <v>3500000</v>
      </c>
      <c r="O93" s="4">
        <f t="shared" si="22"/>
        <v>31500000</v>
      </c>
      <c r="P93" s="34">
        <f t="shared" si="30"/>
        <v>0</v>
      </c>
      <c r="Q93" s="38"/>
      <c r="R93" s="38"/>
      <c r="S93" s="2"/>
      <c r="T93" s="2"/>
    </row>
    <row r="94" spans="1:23" x14ac:dyDescent="0.25">
      <c r="A94" s="5" t="s">
        <v>182</v>
      </c>
      <c r="B94" s="4">
        <f>+'[7]Planeación 2024 P&amp;K Hoja de W'!$H$67+'[7]Planeación 2024 P&amp;K Hoja de W'!$H$77</f>
        <v>35155000</v>
      </c>
      <c r="C94" s="4"/>
      <c r="D94" s="4"/>
      <c r="E94" s="75">
        <f>15435000+428500</f>
        <v>15863500</v>
      </c>
      <c r="F94" s="75">
        <v>428500</v>
      </c>
      <c r="G94" s="75">
        <v>428500</v>
      </c>
      <c r="H94" s="75">
        <v>428500</v>
      </c>
      <c r="I94" s="75">
        <v>428500</v>
      </c>
      <c r="J94" s="75">
        <f>15435000+428500</f>
        <v>15863500</v>
      </c>
      <c r="K94" s="75">
        <v>428500</v>
      </c>
      <c r="L94" s="75">
        <v>428500</v>
      </c>
      <c r="M94" s="75">
        <v>428500</v>
      </c>
      <c r="N94" s="75">
        <v>428500</v>
      </c>
      <c r="O94" s="4">
        <f t="shared" si="22"/>
        <v>35155000</v>
      </c>
      <c r="P94" s="34">
        <f t="shared" si="30"/>
        <v>0</v>
      </c>
      <c r="Q94" s="38"/>
      <c r="R94" s="38"/>
      <c r="S94" s="2"/>
      <c r="T94" s="2"/>
    </row>
    <row r="95" spans="1:23" x14ac:dyDescent="0.25">
      <c r="A95" s="21" t="s">
        <v>85</v>
      </c>
      <c r="B95" s="4">
        <f>+'[7]Planeación 2024 P&amp;K Hoja de W'!$H$179</f>
        <v>8000000</v>
      </c>
      <c r="C95" s="4">
        <f>+B95/12</f>
        <v>666666.66666666663</v>
      </c>
      <c r="D95" s="4">
        <f>+C95</f>
        <v>666666.66666666663</v>
      </c>
      <c r="E95" s="4">
        <f t="shared" ref="E95:N95" si="43">+D95</f>
        <v>666666.66666666663</v>
      </c>
      <c r="F95" s="4">
        <f t="shared" si="43"/>
        <v>666666.66666666663</v>
      </c>
      <c r="G95" s="4">
        <f t="shared" si="43"/>
        <v>666666.66666666663</v>
      </c>
      <c r="H95" s="4">
        <f t="shared" si="43"/>
        <v>666666.66666666663</v>
      </c>
      <c r="I95" s="4">
        <f t="shared" si="43"/>
        <v>666666.66666666663</v>
      </c>
      <c r="J95" s="4">
        <f t="shared" si="43"/>
        <v>666666.66666666663</v>
      </c>
      <c r="K95" s="4">
        <f t="shared" si="43"/>
        <v>666666.66666666663</v>
      </c>
      <c r="L95" s="4">
        <f t="shared" si="43"/>
        <v>666666.66666666663</v>
      </c>
      <c r="M95" s="4">
        <f t="shared" si="43"/>
        <v>666666.66666666663</v>
      </c>
      <c r="N95" s="4">
        <f t="shared" si="43"/>
        <v>666666.66666666663</v>
      </c>
      <c r="O95" s="4">
        <f t="shared" si="22"/>
        <v>8000000.0000000009</v>
      </c>
      <c r="P95" s="34">
        <f t="shared" si="30"/>
        <v>0</v>
      </c>
      <c r="Q95" s="38"/>
      <c r="R95" s="38"/>
      <c r="S95" s="2"/>
      <c r="T95" s="2"/>
    </row>
    <row r="96" spans="1:23" x14ac:dyDescent="0.25">
      <c r="A96" s="5" t="s">
        <v>23</v>
      </c>
      <c r="B96" s="4">
        <f>+'[7]Planeación 2024 P&amp;K Hoja de W'!$H$68</f>
        <v>117000000</v>
      </c>
      <c r="C96" s="4">
        <v>0</v>
      </c>
      <c r="D96" s="75">
        <v>13000000</v>
      </c>
      <c r="E96" s="75">
        <v>0</v>
      </c>
      <c r="F96" s="75">
        <v>0</v>
      </c>
      <c r="G96" s="75">
        <v>13000000</v>
      </c>
      <c r="H96" s="75">
        <v>13000000</v>
      </c>
      <c r="I96" s="75">
        <v>13000000</v>
      </c>
      <c r="J96" s="75">
        <v>13000000</v>
      </c>
      <c r="K96" s="75">
        <v>13000000</v>
      </c>
      <c r="L96" s="75">
        <v>13000000</v>
      </c>
      <c r="M96" s="75">
        <v>13000000</v>
      </c>
      <c r="N96" s="75">
        <v>13000000</v>
      </c>
      <c r="O96" s="4">
        <f t="shared" si="22"/>
        <v>117000000</v>
      </c>
      <c r="P96" s="34">
        <f t="shared" si="30"/>
        <v>0</v>
      </c>
      <c r="Q96" s="38"/>
      <c r="R96" s="38"/>
      <c r="S96" s="2"/>
      <c r="T96" s="2"/>
    </row>
    <row r="97" spans="1:20" x14ac:dyDescent="0.25">
      <c r="A97" s="5" t="s">
        <v>181</v>
      </c>
      <c r="B97" s="4">
        <f>+'[7]Planeación 2024 P&amp;K Hoja de W'!$H$76</f>
        <v>12000000</v>
      </c>
      <c r="C97" s="76">
        <v>0</v>
      </c>
      <c r="D97" s="76">
        <v>0</v>
      </c>
      <c r="E97" s="76">
        <v>0</v>
      </c>
      <c r="F97" s="76">
        <v>0</v>
      </c>
      <c r="G97" s="76">
        <v>6000000</v>
      </c>
      <c r="H97" s="76">
        <v>0</v>
      </c>
      <c r="I97" s="76">
        <v>6000000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4">
        <f t="shared" si="22"/>
        <v>12000000</v>
      </c>
      <c r="P97" s="34"/>
      <c r="Q97" s="38"/>
      <c r="R97" s="38"/>
      <c r="S97" s="2"/>
      <c r="T97" s="2"/>
    </row>
    <row r="98" spans="1:20" ht="30" x14ac:dyDescent="0.25">
      <c r="A98" s="21" t="s">
        <v>37</v>
      </c>
      <c r="B98" s="4">
        <f>+'[7]Planeación 2024 P&amp;K Hoja de W'!$H$69</f>
        <v>82018600</v>
      </c>
      <c r="C98" s="75">
        <v>6463000</v>
      </c>
      <c r="D98" s="75">
        <v>6463000</v>
      </c>
      <c r="E98" s="75">
        <v>6463000</v>
      </c>
      <c r="F98" s="75">
        <v>6463000</v>
      </c>
      <c r="G98" s="75">
        <v>10925600</v>
      </c>
      <c r="H98" s="75">
        <v>6463000</v>
      </c>
      <c r="I98" s="75">
        <v>6463000</v>
      </c>
      <c r="J98" s="75">
        <v>6463000</v>
      </c>
      <c r="K98" s="75">
        <v>6463000</v>
      </c>
      <c r="L98" s="75">
        <v>6463000</v>
      </c>
      <c r="M98" s="75">
        <v>6463000</v>
      </c>
      <c r="N98" s="75">
        <v>6463000</v>
      </c>
      <c r="O98" s="4">
        <f t="shared" si="22"/>
        <v>82018600</v>
      </c>
      <c r="P98" s="34">
        <f t="shared" si="30"/>
        <v>0</v>
      </c>
      <c r="Q98" s="38"/>
      <c r="R98" s="38"/>
      <c r="S98" s="2"/>
      <c r="T98" s="2"/>
    </row>
    <row r="99" spans="1:20" ht="30" x14ac:dyDescent="0.25">
      <c r="A99" s="21" t="s">
        <v>24</v>
      </c>
      <c r="B99" s="67">
        <f>+'[7]Planeación 2024 P&amp;K Hoja de W'!$H$161</f>
        <v>7000000</v>
      </c>
      <c r="C99" s="4">
        <v>0</v>
      </c>
      <c r="D99" s="4"/>
      <c r="E99" s="4"/>
      <c r="F99" s="4"/>
      <c r="G99" s="4"/>
      <c r="H99" s="4"/>
      <c r="I99" s="4">
        <v>3500000</v>
      </c>
      <c r="J99" s="4"/>
      <c r="K99" s="4"/>
      <c r="L99" s="4"/>
      <c r="M99" s="4">
        <v>3500000</v>
      </c>
      <c r="N99" s="4"/>
      <c r="O99" s="4">
        <f t="shared" si="22"/>
        <v>7000000</v>
      </c>
      <c r="P99" s="34">
        <f t="shared" si="30"/>
        <v>0</v>
      </c>
      <c r="Q99" s="38"/>
      <c r="R99" s="38"/>
      <c r="S99" s="2"/>
      <c r="T99" s="2"/>
    </row>
    <row r="100" spans="1:20" x14ac:dyDescent="0.25">
      <c r="A100" s="21" t="s">
        <v>25</v>
      </c>
      <c r="B100" s="4">
        <f>+'[7]Planeación 2024 P&amp;K Hoja de W'!$H$71</f>
        <v>52971800</v>
      </c>
      <c r="C100" s="75">
        <v>3789200</v>
      </c>
      <c r="D100" s="75">
        <v>3789200</v>
      </c>
      <c r="E100" s="75">
        <v>3789200</v>
      </c>
      <c r="F100" s="75">
        <v>4623000</v>
      </c>
      <c r="G100" s="75">
        <v>8789200</v>
      </c>
      <c r="H100" s="75">
        <v>3789200</v>
      </c>
      <c r="I100" s="75">
        <v>4623000</v>
      </c>
      <c r="J100" s="75">
        <v>3789200</v>
      </c>
      <c r="K100" s="75">
        <v>4623000</v>
      </c>
      <c r="L100" s="75">
        <v>3789200</v>
      </c>
      <c r="M100" s="75">
        <v>3789200</v>
      </c>
      <c r="N100" s="75">
        <v>3789200</v>
      </c>
      <c r="O100" s="4">
        <f t="shared" si="22"/>
        <v>52971800</v>
      </c>
      <c r="P100" s="34">
        <f t="shared" si="30"/>
        <v>0</v>
      </c>
      <c r="Q100" s="38"/>
      <c r="R100" s="38"/>
      <c r="S100" s="2"/>
      <c r="T100" s="2"/>
    </row>
    <row r="101" spans="1:20" x14ac:dyDescent="0.25">
      <c r="A101" s="21" t="s">
        <v>180</v>
      </c>
      <c r="B101" s="67">
        <f>+'[7]Planeación 2024 P&amp;K Hoja de W'!$H$165</f>
        <v>30000000</v>
      </c>
      <c r="C101" s="4"/>
      <c r="D101" s="4"/>
      <c r="E101" s="4"/>
      <c r="F101" s="4"/>
      <c r="G101" s="4"/>
      <c r="H101" s="4">
        <v>10000000</v>
      </c>
      <c r="I101" s="4"/>
      <c r="J101" s="4"/>
      <c r="K101" s="4">
        <v>10000000</v>
      </c>
      <c r="L101" s="4"/>
      <c r="M101" s="4"/>
      <c r="N101" s="4">
        <v>10000000</v>
      </c>
      <c r="O101" s="4">
        <f t="shared" si="22"/>
        <v>30000000</v>
      </c>
      <c r="P101" s="34"/>
      <c r="Q101" s="38"/>
      <c r="R101" s="38"/>
      <c r="S101" s="2"/>
      <c r="T101" s="2"/>
    </row>
    <row r="102" spans="1:20" x14ac:dyDescent="0.25">
      <c r="A102" s="5" t="s">
        <v>60</v>
      </c>
      <c r="B102" s="4">
        <f>+'[7]Planeación 2024 P&amp;K Hoja de W'!$H$73</f>
        <v>45470400</v>
      </c>
      <c r="C102" s="4">
        <f>+B102/1/12</f>
        <v>3789200</v>
      </c>
      <c r="D102" s="4">
        <f>+C102</f>
        <v>3789200</v>
      </c>
      <c r="E102" s="4">
        <f t="shared" ref="E102:F102" si="44">+D102</f>
        <v>3789200</v>
      </c>
      <c r="F102" s="4">
        <f t="shared" si="44"/>
        <v>3789200</v>
      </c>
      <c r="G102" s="4">
        <f t="shared" ref="G102:H102" si="45">+F102</f>
        <v>3789200</v>
      </c>
      <c r="H102" s="4">
        <f t="shared" si="45"/>
        <v>3789200</v>
      </c>
      <c r="I102" s="4">
        <f t="shared" ref="I102" si="46">+H102</f>
        <v>3789200</v>
      </c>
      <c r="J102" s="4">
        <f t="shared" ref="J102" si="47">+I102</f>
        <v>3789200</v>
      </c>
      <c r="K102" s="4">
        <f t="shared" ref="K102" si="48">+J102</f>
        <v>3789200</v>
      </c>
      <c r="L102" s="4">
        <f t="shared" ref="L102" si="49">+K102</f>
        <v>3789200</v>
      </c>
      <c r="M102" s="4">
        <f t="shared" ref="M102" si="50">+L102</f>
        <v>3789200</v>
      </c>
      <c r="N102" s="4">
        <f t="shared" ref="N102" si="51">+M102</f>
        <v>3789200</v>
      </c>
      <c r="O102" s="4">
        <f t="shared" si="22"/>
        <v>45470400</v>
      </c>
      <c r="P102" s="34">
        <f t="shared" si="30"/>
        <v>0</v>
      </c>
      <c r="Q102" s="38"/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2"/>
        <v>0</v>
      </c>
      <c r="P103" s="34">
        <f t="shared" si="30"/>
        <v>0</v>
      </c>
      <c r="Q103" s="38"/>
      <c r="R103" s="38"/>
      <c r="S103" s="2"/>
      <c r="T103" s="2"/>
    </row>
    <row r="104" spans="1:20" x14ac:dyDescent="0.25">
      <c r="A104" s="5" t="s">
        <v>92</v>
      </c>
      <c r="B104" s="67">
        <f>+'[7]Planeación 2024 P&amp;K Hoja de W'!$H$158</f>
        <v>98500718</v>
      </c>
      <c r="C104" s="4">
        <f>+B104/12</f>
        <v>8208393.166666667</v>
      </c>
      <c r="D104" s="4">
        <f>+C104</f>
        <v>8208393.166666667</v>
      </c>
      <c r="E104" s="4">
        <f>+D104</f>
        <v>8208393.166666667</v>
      </c>
      <c r="F104" s="4">
        <f t="shared" ref="F104:N105" si="52">+E104</f>
        <v>8208393.166666667</v>
      </c>
      <c r="G104" s="4">
        <f t="shared" si="52"/>
        <v>8208393.166666667</v>
      </c>
      <c r="H104" s="4">
        <f t="shared" si="52"/>
        <v>8208393.166666667</v>
      </c>
      <c r="I104" s="4">
        <f t="shared" si="52"/>
        <v>8208393.166666667</v>
      </c>
      <c r="J104" s="4">
        <f t="shared" si="52"/>
        <v>8208393.166666667</v>
      </c>
      <c r="K104" s="4">
        <f t="shared" si="52"/>
        <v>8208393.166666667</v>
      </c>
      <c r="L104" s="4">
        <f t="shared" si="52"/>
        <v>8208393.166666667</v>
      </c>
      <c r="M104" s="4">
        <f t="shared" si="52"/>
        <v>8208393.166666667</v>
      </c>
      <c r="N104" s="4">
        <f t="shared" si="52"/>
        <v>8208393.166666667</v>
      </c>
      <c r="O104" s="4">
        <f t="shared" si="22"/>
        <v>98500718.000000015</v>
      </c>
      <c r="P104" s="34">
        <f t="shared" si="30"/>
        <v>0</v>
      </c>
      <c r="Q104" s="38"/>
      <c r="R104" s="38"/>
      <c r="S104" s="2"/>
      <c r="T104" s="2"/>
    </row>
    <row r="105" spans="1:20" x14ac:dyDescent="0.25">
      <c r="A105" s="5" t="s">
        <v>73</v>
      </c>
      <c r="B105" s="4">
        <f>+'[7]Planeación 2024 P&amp;K Hoja de W'!$H$74</f>
        <v>6000000</v>
      </c>
      <c r="C105" s="4">
        <f>+B105/1/12</f>
        <v>500000</v>
      </c>
      <c r="D105" s="4">
        <f>+C105</f>
        <v>500000</v>
      </c>
      <c r="E105" s="4">
        <f t="shared" ref="E105:F105" si="53">+D105</f>
        <v>500000</v>
      </c>
      <c r="F105" s="4">
        <f t="shared" si="53"/>
        <v>500000</v>
      </c>
      <c r="G105" s="4">
        <f t="shared" si="52"/>
        <v>500000</v>
      </c>
      <c r="H105" s="4">
        <f t="shared" si="52"/>
        <v>500000</v>
      </c>
      <c r="I105" s="4">
        <f t="shared" si="52"/>
        <v>500000</v>
      </c>
      <c r="J105" s="4">
        <f t="shared" si="52"/>
        <v>500000</v>
      </c>
      <c r="K105" s="4">
        <f t="shared" si="52"/>
        <v>500000</v>
      </c>
      <c r="L105" s="4">
        <f t="shared" si="52"/>
        <v>500000</v>
      </c>
      <c r="M105" s="4">
        <f t="shared" si="52"/>
        <v>500000</v>
      </c>
      <c r="N105" s="4">
        <f t="shared" si="52"/>
        <v>500000</v>
      </c>
      <c r="O105" s="4">
        <f t="shared" si="22"/>
        <v>6000000</v>
      </c>
      <c r="P105" s="34">
        <f t="shared" si="30"/>
        <v>0</v>
      </c>
      <c r="Q105" s="38"/>
      <c r="R105" s="38"/>
      <c r="S105" s="2"/>
      <c r="T105" s="2"/>
    </row>
    <row r="106" spans="1:20" x14ac:dyDescent="0.25">
      <c r="A106" s="5" t="s">
        <v>27</v>
      </c>
      <c r="B106" s="4">
        <f>+'[7]Planeación 2024 P&amp;K Hoja de W'!$H$75</f>
        <v>3270000</v>
      </c>
      <c r="C106" s="75">
        <v>1090000</v>
      </c>
      <c r="D106" s="75">
        <v>0</v>
      </c>
      <c r="E106" s="75">
        <v>0</v>
      </c>
      <c r="F106" s="75">
        <v>0</v>
      </c>
      <c r="G106" s="75">
        <v>0</v>
      </c>
      <c r="H106" s="75">
        <v>1090000</v>
      </c>
      <c r="I106" s="75">
        <v>0</v>
      </c>
      <c r="J106" s="75">
        <v>0</v>
      </c>
      <c r="K106" s="75">
        <v>0</v>
      </c>
      <c r="L106" s="75">
        <v>1090000</v>
      </c>
      <c r="M106" s="75">
        <v>0</v>
      </c>
      <c r="N106" s="75">
        <v>0</v>
      </c>
      <c r="O106" s="4">
        <f t="shared" si="22"/>
        <v>3270000</v>
      </c>
      <c r="P106" s="34">
        <f t="shared" si="30"/>
        <v>0</v>
      </c>
      <c r="Q106" s="38"/>
      <c r="R106" s="38"/>
      <c r="S106" s="2"/>
      <c r="T106" s="2"/>
    </row>
    <row r="107" spans="1:20" x14ac:dyDescent="0.25">
      <c r="A107" s="5" t="s">
        <v>74</v>
      </c>
      <c r="B107" s="4">
        <f>+'[7]Planeación 2024 P&amp;K Hoja de W'!$H$72</f>
        <v>27000000</v>
      </c>
      <c r="C107" s="75">
        <v>0</v>
      </c>
      <c r="D107" s="75">
        <v>0</v>
      </c>
      <c r="E107" s="75">
        <v>0</v>
      </c>
      <c r="F107" s="75">
        <v>3000000</v>
      </c>
      <c r="G107" s="75">
        <v>3000000</v>
      </c>
      <c r="H107" s="75">
        <v>3000000</v>
      </c>
      <c r="I107" s="75">
        <v>3000000</v>
      </c>
      <c r="J107" s="75">
        <v>3000000</v>
      </c>
      <c r="K107" s="75">
        <v>3000000</v>
      </c>
      <c r="L107" s="75">
        <v>3000000</v>
      </c>
      <c r="M107" s="75">
        <v>3000000</v>
      </c>
      <c r="N107" s="75">
        <v>3000000</v>
      </c>
      <c r="O107" s="4">
        <f t="shared" si="22"/>
        <v>27000000</v>
      </c>
      <c r="P107" s="34">
        <f t="shared" si="30"/>
        <v>0</v>
      </c>
      <c r="Q107" s="38"/>
      <c r="R107" s="38"/>
      <c r="S107" s="2"/>
      <c r="T107" s="2"/>
    </row>
    <row r="108" spans="1:20" x14ac:dyDescent="0.25">
      <c r="A108" s="5" t="s">
        <v>28</v>
      </c>
      <c r="B108" s="4">
        <f>+'[7]Planeación 2024 P&amp;K Hoja de W'!$H$62</f>
        <v>10064000</v>
      </c>
      <c r="C108" s="4">
        <v>0</v>
      </c>
      <c r="D108" s="4"/>
      <c r="E108" s="4"/>
      <c r="F108" s="4"/>
      <c r="G108" s="4"/>
      <c r="H108" s="4"/>
      <c r="I108" s="4"/>
      <c r="J108" s="4"/>
      <c r="K108" s="4"/>
      <c r="L108" s="4">
        <v>10064000</v>
      </c>
      <c r="M108" s="4"/>
      <c r="N108" s="4"/>
      <c r="O108" s="4">
        <f t="shared" si="22"/>
        <v>10064000</v>
      </c>
      <c r="P108" s="34">
        <f t="shared" si="30"/>
        <v>0</v>
      </c>
      <c r="Q108" s="38"/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2"/>
        <v>0</v>
      </c>
      <c r="P109" s="34">
        <f t="shared" si="30"/>
        <v>0</v>
      </c>
      <c r="Q109" s="38"/>
      <c r="R109" s="38"/>
      <c r="S109" s="2"/>
      <c r="T109" s="2"/>
    </row>
    <row r="110" spans="1:20" x14ac:dyDescent="0.25">
      <c r="A110" s="5" t="s">
        <v>183</v>
      </c>
      <c r="B110" s="4">
        <f>+'[7]Planeación 2024 P&amp;K Hoja de W'!$H$70+'[7]Planeación 2024 P&amp;K Hoja de W'!$H$78</f>
        <v>36000000</v>
      </c>
      <c r="C110" s="75">
        <v>0</v>
      </c>
      <c r="D110" s="75">
        <v>0</v>
      </c>
      <c r="E110" s="75">
        <v>3500000</v>
      </c>
      <c r="F110" s="75">
        <v>3500000</v>
      </c>
      <c r="G110" s="75">
        <v>3500000</v>
      </c>
      <c r="H110" s="75">
        <v>3500000</v>
      </c>
      <c r="I110" s="75">
        <v>3500000</v>
      </c>
      <c r="J110" s="75">
        <v>3500000</v>
      </c>
      <c r="K110" s="75">
        <v>4500000</v>
      </c>
      <c r="L110" s="75">
        <v>3500000</v>
      </c>
      <c r="M110" s="75">
        <v>3500000</v>
      </c>
      <c r="N110" s="75">
        <v>3500000</v>
      </c>
      <c r="O110" s="4">
        <f t="shared" si="22"/>
        <v>36000000</v>
      </c>
      <c r="P110" s="34">
        <f t="shared" si="30"/>
        <v>0</v>
      </c>
      <c r="Q110" s="38"/>
      <c r="R110" s="38"/>
      <c r="S110" s="2"/>
      <c r="T110" s="2"/>
    </row>
    <row r="111" spans="1:20" x14ac:dyDescent="0.25">
      <c r="A111" s="21" t="s">
        <v>150</v>
      </c>
      <c r="B111" s="4">
        <f>+'[7]Planeación 2024 P&amp;K Hoja de W'!$H$64+'[7]Planeación 2024 P&amp;K Hoja de W'!$H$80</f>
        <v>22036000</v>
      </c>
      <c r="C111" s="4"/>
      <c r="D111" s="4"/>
      <c r="E111" s="4"/>
      <c r="F111" s="4">
        <v>1150000</v>
      </c>
      <c r="G111" s="4"/>
      <c r="H111" s="4"/>
      <c r="I111" s="4"/>
      <c r="J111" s="4">
        <v>1150000</v>
      </c>
      <c r="K111" s="4"/>
      <c r="L111" s="4"/>
      <c r="M111" s="69">
        <v>9293000</v>
      </c>
      <c r="N111" s="4">
        <f>+M111+1150000</f>
        <v>10443000</v>
      </c>
      <c r="O111" s="4">
        <f t="shared" si="22"/>
        <v>22036000</v>
      </c>
      <c r="P111" s="34">
        <f t="shared" si="30"/>
        <v>0</v>
      </c>
      <c r="Q111" s="38"/>
      <c r="R111" s="38"/>
      <c r="S111" s="2"/>
      <c r="T111" s="2"/>
    </row>
    <row r="112" spans="1:20" x14ac:dyDescent="0.25">
      <c r="A112" s="5" t="s">
        <v>82</v>
      </c>
      <c r="B112" s="4">
        <f>+'[7]Planeación 2024 P&amp;K Hoja de W'!$H$51+'[7]Planeación 2024 P&amp;K Hoja de W'!$H$90</f>
        <v>27264000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f>+[8]Resumennna!S326</f>
        <v>0</v>
      </c>
      <c r="H112" s="4">
        <f>5000000+2044000</f>
        <v>7044000</v>
      </c>
      <c r="I112" s="4">
        <f>+[8]Resumennna!U326</f>
        <v>0</v>
      </c>
      <c r="J112" s="4">
        <v>2044000</v>
      </c>
      <c r="K112" s="4">
        <f>+[8]Resumennna!W326</f>
        <v>0</v>
      </c>
      <c r="L112" s="4">
        <f>5000000+2044000</f>
        <v>7044000</v>
      </c>
      <c r="M112" s="4">
        <f>+[8]Resumennna!Y326</f>
        <v>0</v>
      </c>
      <c r="N112" s="4">
        <v>2044000</v>
      </c>
      <c r="O112" s="4">
        <f t="shared" si="22"/>
        <v>27264000</v>
      </c>
      <c r="P112" s="34">
        <f t="shared" si="30"/>
        <v>0</v>
      </c>
      <c r="Q112" s="38"/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2"/>
        <v>0</v>
      </c>
      <c r="P113" s="34">
        <f t="shared" si="30"/>
        <v>0</v>
      </c>
      <c r="Q113" s="38"/>
      <c r="R113" s="38"/>
      <c r="S113" s="2"/>
      <c r="T113" s="2"/>
    </row>
    <row r="114" spans="1:20" x14ac:dyDescent="0.25">
      <c r="A114" s="68" t="s">
        <v>93</v>
      </c>
      <c r="B114" s="67">
        <f>+'[7]Planeación 2024 P&amp;K Hoja de W'!$H$156</f>
        <v>18000000</v>
      </c>
      <c r="C114" s="67">
        <f>+B114/12</f>
        <v>1500000</v>
      </c>
      <c r="D114" s="4">
        <f>+C114</f>
        <v>1500000</v>
      </c>
      <c r="E114" s="4">
        <f>+D114</f>
        <v>1500000</v>
      </c>
      <c r="F114" s="4">
        <f t="shared" ref="F114:N114" si="54">+E114</f>
        <v>1500000</v>
      </c>
      <c r="G114" s="4">
        <f t="shared" si="54"/>
        <v>1500000</v>
      </c>
      <c r="H114" s="4">
        <f t="shared" si="54"/>
        <v>1500000</v>
      </c>
      <c r="I114" s="4">
        <f t="shared" si="54"/>
        <v>1500000</v>
      </c>
      <c r="J114" s="4">
        <f t="shared" si="54"/>
        <v>1500000</v>
      </c>
      <c r="K114" s="4">
        <f t="shared" si="54"/>
        <v>1500000</v>
      </c>
      <c r="L114" s="4">
        <f t="shared" si="54"/>
        <v>1500000</v>
      </c>
      <c r="M114" s="4">
        <f t="shared" si="54"/>
        <v>1500000</v>
      </c>
      <c r="N114" s="4">
        <f t="shared" si="54"/>
        <v>1500000</v>
      </c>
      <c r="O114" s="4">
        <f t="shared" si="22"/>
        <v>18000000</v>
      </c>
      <c r="P114" s="34">
        <f t="shared" si="30"/>
        <v>0</v>
      </c>
      <c r="Q114" s="38"/>
      <c r="R114" s="38"/>
      <c r="S114" s="2"/>
      <c r="T114" s="2"/>
    </row>
    <row r="115" spans="1:20" x14ac:dyDescent="0.25">
      <c r="A115" s="5" t="s">
        <v>78</v>
      </c>
      <c r="B115" s="74">
        <f>+'[7]Planeación 2024 P&amp;K Hoja de W'!$H$52</f>
        <v>3000000</v>
      </c>
      <c r="C115" s="4">
        <f>+B115/12</f>
        <v>250000</v>
      </c>
      <c r="D115" s="4">
        <f>+C115</f>
        <v>250000</v>
      </c>
      <c r="E115" s="4">
        <f t="shared" ref="E115:N115" si="55">+D115</f>
        <v>250000</v>
      </c>
      <c r="F115" s="4">
        <f t="shared" si="55"/>
        <v>250000</v>
      </c>
      <c r="G115" s="4">
        <f t="shared" si="55"/>
        <v>250000</v>
      </c>
      <c r="H115" s="4">
        <f t="shared" si="55"/>
        <v>250000</v>
      </c>
      <c r="I115" s="4">
        <f t="shared" si="55"/>
        <v>250000</v>
      </c>
      <c r="J115" s="4">
        <f t="shared" si="55"/>
        <v>250000</v>
      </c>
      <c r="K115" s="4">
        <f t="shared" si="55"/>
        <v>250000</v>
      </c>
      <c r="L115" s="4">
        <f t="shared" si="55"/>
        <v>250000</v>
      </c>
      <c r="M115" s="4">
        <f t="shared" si="55"/>
        <v>250000</v>
      </c>
      <c r="N115" s="4">
        <f t="shared" si="55"/>
        <v>250000</v>
      </c>
      <c r="O115" s="4">
        <f t="shared" si="22"/>
        <v>3000000</v>
      </c>
      <c r="P115" s="34">
        <f t="shared" si="30"/>
        <v>0</v>
      </c>
      <c r="Q115" s="38"/>
      <c r="R115" s="38"/>
      <c r="S115" s="2"/>
      <c r="T115" s="2"/>
    </row>
    <row r="116" spans="1:20" ht="24" x14ac:dyDescent="0.25">
      <c r="A116" s="60" t="s">
        <v>148</v>
      </c>
      <c r="B116" s="4">
        <f>+'[7]Planeación 2024 P&amp;K Hoja de W'!$H$56</f>
        <v>80000000</v>
      </c>
      <c r="C116" s="4"/>
      <c r="D116" s="4"/>
      <c r="E116" s="4">
        <v>8000000</v>
      </c>
      <c r="F116" s="4">
        <v>8000000</v>
      </c>
      <c r="G116" s="4">
        <f>8000000</f>
        <v>8000000</v>
      </c>
      <c r="H116" s="4">
        <v>8000000</v>
      </c>
      <c r="I116" s="4">
        <f>8000000</f>
        <v>8000000</v>
      </c>
      <c r="J116" s="4">
        <v>8000000</v>
      </c>
      <c r="K116" s="4">
        <v>8000000</v>
      </c>
      <c r="L116" s="4">
        <v>8000000</v>
      </c>
      <c r="M116" s="4">
        <v>8000000</v>
      </c>
      <c r="N116" s="4">
        <v>8000000</v>
      </c>
      <c r="O116" s="4">
        <f t="shared" si="22"/>
        <v>80000000</v>
      </c>
      <c r="P116" s="34">
        <f t="shared" si="30"/>
        <v>0</v>
      </c>
      <c r="Q116" s="38"/>
      <c r="R116" s="38"/>
      <c r="S116" s="2"/>
      <c r="T116" s="2"/>
    </row>
    <row r="117" spans="1:20" ht="24" x14ac:dyDescent="0.25">
      <c r="A117" s="60" t="s">
        <v>149</v>
      </c>
      <c r="B117" s="4">
        <f>+'[7]Planeación 2024 P&amp;K Hoja de W'!$H$57</f>
        <v>19000000</v>
      </c>
      <c r="C117" s="4"/>
      <c r="D117" s="4"/>
      <c r="E117" s="4"/>
      <c r="F117" s="4"/>
      <c r="G117" s="4">
        <v>9500000</v>
      </c>
      <c r="H117" s="4"/>
      <c r="I117" s="4">
        <v>9500000</v>
      </c>
      <c r="J117" s="4"/>
      <c r="K117" s="4"/>
      <c r="L117" s="4"/>
      <c r="M117" s="4"/>
      <c r="N117" s="4"/>
      <c r="O117" s="4">
        <f t="shared" si="22"/>
        <v>19000000</v>
      </c>
      <c r="P117" s="34">
        <f t="shared" si="30"/>
        <v>0</v>
      </c>
      <c r="Q117" s="38"/>
      <c r="R117" s="38"/>
      <c r="S117" s="2"/>
      <c r="T117" s="2"/>
    </row>
    <row r="118" spans="1:20" x14ac:dyDescent="0.25">
      <c r="A118" s="94" t="s">
        <v>170</v>
      </c>
      <c r="B118" s="67">
        <f>+'[7]Planeación 2024 P&amp;K Hoja de W'!$H$157</f>
        <v>191160000</v>
      </c>
      <c r="C118" s="67">
        <f>+B118/12</f>
        <v>15930000</v>
      </c>
      <c r="D118" s="4">
        <f>+C118</f>
        <v>15930000</v>
      </c>
      <c r="E118" s="4">
        <f>+D118</f>
        <v>15930000</v>
      </c>
      <c r="F118" s="4">
        <f t="shared" ref="F118:N118" si="56">+E118</f>
        <v>15930000</v>
      </c>
      <c r="G118" s="4">
        <f t="shared" si="56"/>
        <v>15930000</v>
      </c>
      <c r="H118" s="4">
        <f t="shared" si="56"/>
        <v>15930000</v>
      </c>
      <c r="I118" s="4">
        <f t="shared" si="56"/>
        <v>15930000</v>
      </c>
      <c r="J118" s="4">
        <f t="shared" si="56"/>
        <v>15930000</v>
      </c>
      <c r="K118" s="4">
        <f t="shared" si="56"/>
        <v>15930000</v>
      </c>
      <c r="L118" s="4">
        <f t="shared" si="56"/>
        <v>15930000</v>
      </c>
      <c r="M118" s="4">
        <f t="shared" si="56"/>
        <v>15930000</v>
      </c>
      <c r="N118" s="4">
        <f t="shared" si="56"/>
        <v>15930000</v>
      </c>
      <c r="O118" s="4">
        <f t="shared" si="22"/>
        <v>191160000</v>
      </c>
      <c r="P118" s="34">
        <f t="shared" si="30"/>
        <v>0</v>
      </c>
      <c r="Q118" s="38"/>
      <c r="R118" s="38"/>
      <c r="S118" s="2"/>
      <c r="T118" s="2"/>
    </row>
    <row r="119" spans="1:20" x14ac:dyDescent="0.25">
      <c r="A119" s="21" t="s">
        <v>187</v>
      </c>
      <c r="B119" s="4">
        <f>+'[7]Planeación 2024 P&amp;K Hoja de W'!$H$88+'[7]Planeación 2024 P&amp;K Hoja de W'!$H$89</f>
        <v>12500000</v>
      </c>
      <c r="C119" s="4">
        <v>7000000</v>
      </c>
      <c r="D119" s="4">
        <f>+[8]Resumennna!P342</f>
        <v>0</v>
      </c>
      <c r="E119" s="4">
        <f>+[8]Resumennna!Q342</f>
        <v>0</v>
      </c>
      <c r="F119" s="4">
        <v>2000000</v>
      </c>
      <c r="G119" s="4">
        <f>+[8]Resumennna!S342</f>
        <v>0</v>
      </c>
      <c r="H119" s="4">
        <f>+[8]Resumennna!T342</f>
        <v>0</v>
      </c>
      <c r="I119" s="4">
        <v>0</v>
      </c>
      <c r="J119" s="4">
        <v>3500000</v>
      </c>
      <c r="K119" s="4">
        <f>+[8]Resumennna!W342</f>
        <v>0</v>
      </c>
      <c r="L119" s="4">
        <f>+[8]Resumennna!X342</f>
        <v>0</v>
      </c>
      <c r="M119" s="4">
        <f>+[8]Resumennna!Y342</f>
        <v>0</v>
      </c>
      <c r="N119" s="4">
        <f>+[8]Resumennna!Z342</f>
        <v>0</v>
      </c>
      <c r="O119" s="4">
        <f t="shared" si="22"/>
        <v>12500000</v>
      </c>
      <c r="P119" s="34">
        <f t="shared" si="30"/>
        <v>0</v>
      </c>
      <c r="Q119" s="38"/>
      <c r="R119" s="38"/>
      <c r="S119" s="2"/>
      <c r="T119" s="2"/>
    </row>
    <row r="120" spans="1:20" x14ac:dyDescent="0.25">
      <c r="A120" s="94" t="s">
        <v>70</v>
      </c>
      <c r="B120" s="67">
        <f>+'[7]Planeación 2024 P&amp;K Hoja de W'!$H$163</f>
        <v>72000000</v>
      </c>
      <c r="C120" s="67">
        <v>6000000</v>
      </c>
      <c r="D120" s="4">
        <f>+C120</f>
        <v>6000000</v>
      </c>
      <c r="E120" s="4">
        <f t="shared" ref="E120:N120" si="57">+D120</f>
        <v>6000000</v>
      </c>
      <c r="F120" s="4">
        <f t="shared" si="57"/>
        <v>6000000</v>
      </c>
      <c r="G120" s="4">
        <f t="shared" si="57"/>
        <v>6000000</v>
      </c>
      <c r="H120" s="4">
        <f t="shared" si="57"/>
        <v>6000000</v>
      </c>
      <c r="I120" s="4">
        <f t="shared" si="57"/>
        <v>6000000</v>
      </c>
      <c r="J120" s="4">
        <f t="shared" si="57"/>
        <v>6000000</v>
      </c>
      <c r="K120" s="4">
        <f t="shared" si="57"/>
        <v>6000000</v>
      </c>
      <c r="L120" s="4">
        <f t="shared" si="57"/>
        <v>6000000</v>
      </c>
      <c r="M120" s="4">
        <f t="shared" si="57"/>
        <v>6000000</v>
      </c>
      <c r="N120" s="4">
        <f t="shared" si="57"/>
        <v>6000000</v>
      </c>
      <c r="O120" s="4">
        <f t="shared" si="22"/>
        <v>72000000</v>
      </c>
      <c r="P120" s="34">
        <f t="shared" si="30"/>
        <v>0</v>
      </c>
      <c r="Q120" s="38"/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2"/>
        <v>0</v>
      </c>
      <c r="P121" s="34"/>
      <c r="Q121" s="38"/>
      <c r="R121" s="38"/>
      <c r="S121" s="2"/>
      <c r="T121" s="2"/>
    </row>
    <row r="122" spans="1:20" x14ac:dyDescent="0.25">
      <c r="A122" s="21" t="s">
        <v>171</v>
      </c>
      <c r="B122" s="4">
        <f>+'[7]Planeación 2024 P&amp;K Hoja de W'!$H$180</f>
        <v>30000000</v>
      </c>
      <c r="C122" s="4"/>
      <c r="D122" s="4"/>
      <c r="E122" s="4"/>
      <c r="F122" s="70">
        <v>10000000</v>
      </c>
      <c r="G122" s="70">
        <v>0</v>
      </c>
      <c r="H122" s="70">
        <v>20000000</v>
      </c>
      <c r="I122" s="70">
        <v>0</v>
      </c>
      <c r="J122" s="69">
        <v>0</v>
      </c>
      <c r="K122" s="69">
        <v>0</v>
      </c>
      <c r="L122" s="69">
        <v>0</v>
      </c>
      <c r="M122" s="69">
        <v>0</v>
      </c>
      <c r="N122" s="69">
        <v>0</v>
      </c>
      <c r="O122" s="4">
        <f t="shared" si="22"/>
        <v>30000000</v>
      </c>
      <c r="P122" s="34">
        <f t="shared" si="30"/>
        <v>0</v>
      </c>
      <c r="Q122" s="38"/>
      <c r="R122" s="38"/>
      <c r="S122" s="2"/>
      <c r="T122" s="2"/>
    </row>
    <row r="123" spans="1:20" x14ac:dyDescent="0.25">
      <c r="A123" s="21" t="s">
        <v>172</v>
      </c>
      <c r="B123" s="4">
        <f>+'[7]Planeación 2024 P&amp;K Hoja de W'!$H$181</f>
        <v>24000000</v>
      </c>
      <c r="C123" s="4"/>
      <c r="D123" s="4"/>
      <c r="E123" s="70">
        <v>0</v>
      </c>
      <c r="F123" s="70">
        <v>12000000</v>
      </c>
      <c r="G123" s="70">
        <v>0</v>
      </c>
      <c r="H123" s="70">
        <v>0</v>
      </c>
      <c r="I123" s="70">
        <v>0</v>
      </c>
      <c r="J123" s="69">
        <v>0</v>
      </c>
      <c r="K123" s="69">
        <v>0</v>
      </c>
      <c r="L123" s="69">
        <v>0</v>
      </c>
      <c r="M123" s="69">
        <v>12000000</v>
      </c>
      <c r="N123" s="69">
        <v>0</v>
      </c>
      <c r="O123" s="4">
        <f t="shared" si="22"/>
        <v>24000000</v>
      </c>
      <c r="P123" s="34">
        <f t="shared" si="30"/>
        <v>0</v>
      </c>
      <c r="Q123" s="38"/>
      <c r="R123" s="38"/>
      <c r="S123" s="2"/>
      <c r="T123" s="2"/>
    </row>
    <row r="124" spans="1:20" x14ac:dyDescent="0.25">
      <c r="A124" s="21" t="s">
        <v>173</v>
      </c>
      <c r="B124" s="4">
        <f>+'[7]Planeación 2024 P&amp;K Hoja de W'!$H$182</f>
        <v>10000000</v>
      </c>
      <c r="C124" s="4"/>
      <c r="D124" s="4"/>
      <c r="E124" s="70">
        <v>5000000</v>
      </c>
      <c r="F124" s="70">
        <v>0</v>
      </c>
      <c r="G124" s="70">
        <v>0</v>
      </c>
      <c r="H124" s="70">
        <v>0</v>
      </c>
      <c r="I124" s="70">
        <v>0</v>
      </c>
      <c r="J124" s="69">
        <v>0</v>
      </c>
      <c r="K124" s="69">
        <v>0</v>
      </c>
      <c r="L124" s="69">
        <v>0</v>
      </c>
      <c r="M124" s="69">
        <v>0</v>
      </c>
      <c r="N124" s="69">
        <v>5000000</v>
      </c>
      <c r="O124" s="4">
        <f t="shared" si="22"/>
        <v>10000000</v>
      </c>
      <c r="P124" s="34">
        <f t="shared" si="30"/>
        <v>0</v>
      </c>
      <c r="Q124" s="38"/>
      <c r="R124" s="38"/>
      <c r="S124" s="2"/>
      <c r="T124" s="2"/>
    </row>
    <row r="125" spans="1:20" x14ac:dyDescent="0.25">
      <c r="A125" s="21" t="s">
        <v>174</v>
      </c>
      <c r="B125" s="4">
        <f>+'[7]Planeación 2024 P&amp;K Hoja de W'!$H$183</f>
        <v>10000000</v>
      </c>
      <c r="C125" s="4"/>
      <c r="D125" s="4"/>
      <c r="E125" s="4"/>
      <c r="F125" s="4"/>
      <c r="G125" s="70">
        <v>10000000</v>
      </c>
      <c r="H125" s="70">
        <v>0</v>
      </c>
      <c r="I125" s="70">
        <v>0</v>
      </c>
      <c r="J125" s="4"/>
      <c r="K125" s="4"/>
      <c r="L125" s="4"/>
      <c r="M125" s="4"/>
      <c r="N125" s="4"/>
      <c r="O125" s="4">
        <f t="shared" si="22"/>
        <v>10000000</v>
      </c>
      <c r="P125" s="34">
        <f t="shared" si="30"/>
        <v>0</v>
      </c>
      <c r="Q125" s="38"/>
      <c r="R125" s="38"/>
      <c r="S125" s="2"/>
      <c r="T125" s="2"/>
    </row>
    <row r="126" spans="1:20" x14ac:dyDescent="0.25">
      <c r="A126" s="21" t="s">
        <v>175</v>
      </c>
      <c r="B126" s="4">
        <f>+'[7]Planeación 2024 P&amp;K Hoja de W'!$H$184</f>
        <v>10000000</v>
      </c>
      <c r="C126" s="4"/>
      <c r="D126" s="4"/>
      <c r="E126" s="4"/>
      <c r="F126" s="4"/>
      <c r="G126" s="70">
        <v>10000000</v>
      </c>
      <c r="H126" s="70">
        <v>0</v>
      </c>
      <c r="I126" s="70">
        <v>0</v>
      </c>
      <c r="J126" s="4"/>
      <c r="K126" s="4"/>
      <c r="L126" s="4"/>
      <c r="M126" s="4"/>
      <c r="N126" s="4"/>
      <c r="O126" s="4">
        <f t="shared" si="22"/>
        <v>10000000</v>
      </c>
      <c r="P126" s="34">
        <f t="shared" si="30"/>
        <v>0</v>
      </c>
      <c r="Q126" s="38"/>
      <c r="R126" s="38"/>
      <c r="S126" s="2"/>
      <c r="T126" s="2"/>
    </row>
    <row r="127" spans="1:20" x14ac:dyDescent="0.25">
      <c r="A127" s="21" t="s">
        <v>176</v>
      </c>
      <c r="B127" s="4">
        <f>+'[7]Planeación 2024 P&amp;K Hoja de W'!$H$185</f>
        <v>10000000</v>
      </c>
      <c r="C127" s="4"/>
      <c r="D127" s="4"/>
      <c r="E127" s="4"/>
      <c r="F127" s="4"/>
      <c r="G127" s="70">
        <v>10000000</v>
      </c>
      <c r="H127" s="70">
        <v>0</v>
      </c>
      <c r="I127" s="70">
        <v>0</v>
      </c>
      <c r="J127" s="4"/>
      <c r="K127" s="4"/>
      <c r="L127" s="4"/>
      <c r="M127" s="4"/>
      <c r="N127" s="4"/>
      <c r="O127" s="4">
        <f t="shared" si="22"/>
        <v>10000000</v>
      </c>
      <c r="P127" s="34">
        <f t="shared" si="30"/>
        <v>0</v>
      </c>
      <c r="Q127" s="38"/>
      <c r="R127" s="38"/>
      <c r="S127" s="2"/>
      <c r="T127" s="2"/>
    </row>
    <row r="128" spans="1:20" x14ac:dyDescent="0.25">
      <c r="A128" s="21" t="s">
        <v>177</v>
      </c>
      <c r="B128" s="4">
        <f>+'[7]Planeación 2024 P&amp;K Hoja de W'!$H$186</f>
        <v>20000000</v>
      </c>
      <c r="C128" s="4"/>
      <c r="D128" s="4"/>
      <c r="E128" s="4"/>
      <c r="F128" s="4"/>
      <c r="G128" s="70">
        <v>0</v>
      </c>
      <c r="H128" s="70">
        <v>0</v>
      </c>
      <c r="I128" s="70">
        <v>10000000</v>
      </c>
      <c r="J128" s="4"/>
      <c r="K128" s="4"/>
      <c r="L128" s="4"/>
      <c r="M128" s="4"/>
      <c r="N128" s="69">
        <v>10000000</v>
      </c>
      <c r="O128" s="4">
        <f t="shared" si="22"/>
        <v>20000000</v>
      </c>
      <c r="P128" s="34">
        <f t="shared" si="30"/>
        <v>0</v>
      </c>
      <c r="Q128" s="38"/>
      <c r="R128" s="38"/>
      <c r="S128" s="2"/>
      <c r="T128" s="2"/>
    </row>
    <row r="129" spans="1:22" ht="30" x14ac:dyDescent="0.25">
      <c r="A129" s="21" t="s">
        <v>178</v>
      </c>
      <c r="B129" s="4">
        <f>+'[7]Planeación 2024 P&amp;K Hoja de W'!$H$187</f>
        <v>1500000000</v>
      </c>
      <c r="C129" s="4"/>
      <c r="D129" s="4"/>
      <c r="E129" s="4"/>
      <c r="F129" s="4"/>
      <c r="G129" s="4"/>
      <c r="H129" s="4"/>
      <c r="I129" s="4"/>
      <c r="J129" s="4"/>
      <c r="K129" s="70">
        <v>1500000000</v>
      </c>
      <c r="L129" s="4"/>
      <c r="M129" s="4"/>
      <c r="N129" s="4"/>
      <c r="O129" s="4">
        <f t="shared" si="22"/>
        <v>1500000000</v>
      </c>
      <c r="P129" s="34">
        <f t="shared" si="30"/>
        <v>0</v>
      </c>
      <c r="Q129" s="38"/>
      <c r="R129" s="38"/>
      <c r="S129" s="2"/>
      <c r="T129" s="2"/>
    </row>
    <row r="130" spans="1:22" ht="30" x14ac:dyDescent="0.25">
      <c r="A130" s="21" t="s">
        <v>179</v>
      </c>
      <c r="B130" s="4">
        <f>+'[7]Planeación 2024 P&amp;K Hoja de W'!$H$188</f>
        <v>9000000</v>
      </c>
      <c r="C130" s="4"/>
      <c r="D130" s="4">
        <v>6000000</v>
      </c>
      <c r="E130" s="4"/>
      <c r="F130" s="4"/>
      <c r="G130" s="4"/>
      <c r="H130" s="4"/>
      <c r="I130" s="4"/>
      <c r="J130" s="4"/>
      <c r="K130" s="4">
        <v>3000000</v>
      </c>
      <c r="L130" s="4"/>
      <c r="M130" s="4"/>
      <c r="N130" s="4"/>
      <c r="O130" s="4">
        <f t="shared" si="22"/>
        <v>9000000</v>
      </c>
      <c r="P130" s="34">
        <f t="shared" si="30"/>
        <v>0</v>
      </c>
      <c r="Q130" s="38"/>
      <c r="R130" s="38"/>
      <c r="S130" s="2"/>
      <c r="T130" s="2"/>
    </row>
    <row r="131" spans="1:22" x14ac:dyDescent="0.25">
      <c r="A131" s="21" t="s">
        <v>33</v>
      </c>
      <c r="B131" s="4">
        <f>+'[7]Planeación 2024 P&amp;K Hoja de W'!$H$53</f>
        <v>9825000</v>
      </c>
      <c r="C131" s="4">
        <v>0</v>
      </c>
      <c r="D131" s="4">
        <v>0</v>
      </c>
      <c r="E131" s="4">
        <v>982500</v>
      </c>
      <c r="F131" s="4">
        <f>+E131</f>
        <v>982500</v>
      </c>
      <c r="G131" s="4">
        <f t="shared" ref="G131:N131" si="58">+F131</f>
        <v>982500</v>
      </c>
      <c r="H131" s="4">
        <f t="shared" si="58"/>
        <v>982500</v>
      </c>
      <c r="I131" s="4">
        <f t="shared" si="58"/>
        <v>982500</v>
      </c>
      <c r="J131" s="4">
        <f t="shared" si="58"/>
        <v>982500</v>
      </c>
      <c r="K131" s="4">
        <f t="shared" si="58"/>
        <v>982500</v>
      </c>
      <c r="L131" s="4">
        <f t="shared" si="58"/>
        <v>982500</v>
      </c>
      <c r="M131" s="4">
        <f t="shared" si="58"/>
        <v>982500</v>
      </c>
      <c r="N131" s="4">
        <f t="shared" si="58"/>
        <v>982500</v>
      </c>
      <c r="O131" s="4">
        <f t="shared" si="22"/>
        <v>9825000</v>
      </c>
      <c r="P131" s="34">
        <f t="shared" si="30"/>
        <v>0</v>
      </c>
      <c r="Q131" s="38"/>
      <c r="R131" s="38"/>
      <c r="S131" s="2"/>
      <c r="T131" s="2"/>
    </row>
    <row r="132" spans="1:22" x14ac:dyDescent="0.25">
      <c r="A132" s="94" t="s">
        <v>75</v>
      </c>
      <c r="B132" s="67">
        <f>+'[7]Planeación 2024 P&amp;K Hoja de W'!$H$162</f>
        <v>16000000</v>
      </c>
      <c r="C132" s="67">
        <v>0</v>
      </c>
      <c r="D132" s="4">
        <f>+[8]Resumennna!P311</f>
        <v>0</v>
      </c>
      <c r="E132" s="4">
        <f>+[8]Resumennna!Q311</f>
        <v>0</v>
      </c>
      <c r="F132" s="4">
        <f>+[8]Resumennna!R311</f>
        <v>0</v>
      </c>
      <c r="G132" s="69">
        <v>2000000</v>
      </c>
      <c r="H132" s="69">
        <v>2000000</v>
      </c>
      <c r="I132" s="69">
        <v>2000000</v>
      </c>
      <c r="J132" s="69">
        <v>2000000</v>
      </c>
      <c r="K132" s="69">
        <v>2000000</v>
      </c>
      <c r="L132" s="69">
        <v>2000000</v>
      </c>
      <c r="M132" s="69">
        <v>2000000</v>
      </c>
      <c r="N132" s="69">
        <v>2000000</v>
      </c>
      <c r="O132" s="4">
        <f t="shared" si="22"/>
        <v>16000000</v>
      </c>
      <c r="P132" s="34">
        <f t="shared" si="30"/>
        <v>0</v>
      </c>
      <c r="Q132" s="38"/>
      <c r="R132" s="38"/>
      <c r="S132" s="2"/>
      <c r="T132" s="2"/>
    </row>
    <row r="133" spans="1:22" x14ac:dyDescent="0.25">
      <c r="A133" s="21" t="s">
        <v>68</v>
      </c>
      <c r="B133" s="4">
        <f>+'[7]Planeación 2024 P&amp;K Hoja de W'!$H$60</f>
        <v>48000000</v>
      </c>
      <c r="C133" s="4">
        <f>+B133/12</f>
        <v>4000000</v>
      </c>
      <c r="D133" s="4">
        <f>+C133</f>
        <v>4000000</v>
      </c>
      <c r="E133" s="4">
        <f t="shared" ref="E133:N133" si="59">+D133</f>
        <v>4000000</v>
      </c>
      <c r="F133" s="4">
        <f t="shared" si="59"/>
        <v>4000000</v>
      </c>
      <c r="G133" s="4">
        <f t="shared" si="59"/>
        <v>4000000</v>
      </c>
      <c r="H133" s="4">
        <f t="shared" si="59"/>
        <v>4000000</v>
      </c>
      <c r="I133" s="4">
        <f t="shared" si="59"/>
        <v>4000000</v>
      </c>
      <c r="J133" s="4">
        <f t="shared" si="59"/>
        <v>4000000</v>
      </c>
      <c r="K133" s="4">
        <f t="shared" si="59"/>
        <v>4000000</v>
      </c>
      <c r="L133" s="4">
        <f t="shared" si="59"/>
        <v>4000000</v>
      </c>
      <c r="M133" s="4">
        <f t="shared" si="59"/>
        <v>4000000</v>
      </c>
      <c r="N133" s="4">
        <f t="shared" si="59"/>
        <v>4000000</v>
      </c>
      <c r="O133" s="4">
        <f t="shared" si="22"/>
        <v>48000000</v>
      </c>
      <c r="P133" s="34">
        <f t="shared" si="30"/>
        <v>0</v>
      </c>
      <c r="Q133" s="38"/>
      <c r="R133" s="38"/>
      <c r="S133" s="2"/>
      <c r="T133" s="2"/>
    </row>
    <row r="134" spans="1:22" x14ac:dyDescent="0.25">
      <c r="A134" s="21" t="s">
        <v>86</v>
      </c>
      <c r="B134" s="4">
        <f>+'[7]Planeación 2024 P&amp;K Hoja de W'!$H$177</f>
        <v>39052465</v>
      </c>
      <c r="C134" s="4">
        <f>+B134/12</f>
        <v>3254372.0833333335</v>
      </c>
      <c r="D134" s="4">
        <f>+C134</f>
        <v>3254372.0833333335</v>
      </c>
      <c r="E134" s="4">
        <f t="shared" ref="E134:N134" si="60">+D134</f>
        <v>3254372.0833333335</v>
      </c>
      <c r="F134" s="4">
        <f t="shared" si="60"/>
        <v>3254372.0833333335</v>
      </c>
      <c r="G134" s="4">
        <f t="shared" si="60"/>
        <v>3254372.0833333335</v>
      </c>
      <c r="H134" s="4">
        <f t="shared" si="60"/>
        <v>3254372.0833333335</v>
      </c>
      <c r="I134" s="4">
        <f t="shared" si="60"/>
        <v>3254372.0833333335</v>
      </c>
      <c r="J134" s="4">
        <f t="shared" si="60"/>
        <v>3254372.0833333335</v>
      </c>
      <c r="K134" s="4">
        <f t="shared" si="60"/>
        <v>3254372.0833333335</v>
      </c>
      <c r="L134" s="4">
        <f t="shared" si="60"/>
        <v>3254372.0833333335</v>
      </c>
      <c r="M134" s="4">
        <f t="shared" si="60"/>
        <v>3254372.0833333335</v>
      </c>
      <c r="N134" s="4">
        <f t="shared" si="60"/>
        <v>3254372.0833333335</v>
      </c>
      <c r="O134" s="4">
        <f t="shared" si="22"/>
        <v>39052465</v>
      </c>
      <c r="P134" s="34">
        <f t="shared" ref="P134:P155" si="61">+O134-B134</f>
        <v>0</v>
      </c>
      <c r="Q134" s="38"/>
      <c r="R134" s="38"/>
      <c r="S134" s="2"/>
      <c r="T134" s="2"/>
    </row>
    <row r="135" spans="1:22" x14ac:dyDescent="0.25">
      <c r="A135" s="94" t="s">
        <v>108</v>
      </c>
      <c r="B135" s="67">
        <f>+'[7]Planeación 2024 P&amp;K Hoja de W'!$H$159</f>
        <v>42000000</v>
      </c>
      <c r="C135" s="67">
        <f>+B135/12</f>
        <v>3500000</v>
      </c>
      <c r="D135" s="4">
        <f>+C135</f>
        <v>3500000</v>
      </c>
      <c r="E135" s="4">
        <f>+D135</f>
        <v>3500000</v>
      </c>
      <c r="F135" s="4">
        <f t="shared" ref="F135:N135" si="62">+E135</f>
        <v>3500000</v>
      </c>
      <c r="G135" s="4">
        <f t="shared" si="62"/>
        <v>3500000</v>
      </c>
      <c r="H135" s="4">
        <f t="shared" si="62"/>
        <v>3500000</v>
      </c>
      <c r="I135" s="4">
        <f t="shared" si="62"/>
        <v>3500000</v>
      </c>
      <c r="J135" s="4">
        <f t="shared" si="62"/>
        <v>3500000</v>
      </c>
      <c r="K135" s="4">
        <f t="shared" si="62"/>
        <v>3500000</v>
      </c>
      <c r="L135" s="4">
        <f t="shared" si="62"/>
        <v>3500000</v>
      </c>
      <c r="M135" s="4">
        <f t="shared" si="62"/>
        <v>3500000</v>
      </c>
      <c r="N135" s="4">
        <f t="shared" si="62"/>
        <v>3500000</v>
      </c>
      <c r="O135" s="4">
        <f t="shared" si="22"/>
        <v>42000000</v>
      </c>
      <c r="P135" s="34">
        <f t="shared" si="61"/>
        <v>0</v>
      </c>
      <c r="Q135" s="38"/>
      <c r="R135" s="38"/>
      <c r="S135" s="2"/>
      <c r="T135" s="2"/>
    </row>
    <row r="136" spans="1:22" x14ac:dyDescent="0.25">
      <c r="A136" s="5" t="s">
        <v>76</v>
      </c>
      <c r="B136" s="4">
        <f>+'[7]Planeación 2024 P&amp;K Hoja de W'!$H$81</f>
        <v>9000000</v>
      </c>
      <c r="C136" s="4">
        <v>0</v>
      </c>
      <c r="D136" s="71">
        <v>6000000</v>
      </c>
      <c r="E136" s="71">
        <v>0</v>
      </c>
      <c r="F136" s="71">
        <v>0</v>
      </c>
      <c r="G136" s="71">
        <v>0</v>
      </c>
      <c r="H136" s="71">
        <v>0</v>
      </c>
      <c r="I136" s="72">
        <v>0</v>
      </c>
      <c r="J136" s="73">
        <v>0</v>
      </c>
      <c r="K136" s="73">
        <v>3000000</v>
      </c>
      <c r="L136" s="73">
        <v>0</v>
      </c>
      <c r="M136" s="4">
        <f>+[8]Resumennna!Y343</f>
        <v>0</v>
      </c>
      <c r="N136" s="4">
        <f>+[8]Resumennna!Z343</f>
        <v>0</v>
      </c>
      <c r="O136" s="4">
        <f t="shared" si="22"/>
        <v>9000000</v>
      </c>
      <c r="P136" s="34">
        <f t="shared" si="61"/>
        <v>0</v>
      </c>
      <c r="Q136" s="38"/>
      <c r="R136" s="38"/>
      <c r="S136" s="2"/>
      <c r="T136" s="2"/>
    </row>
    <row r="137" spans="1:22" x14ac:dyDescent="0.25">
      <c r="A137" s="5" t="s">
        <v>61</v>
      </c>
      <c r="B137" s="4">
        <f>+'[7]Planeación 2024 P&amp;K Hoja de W'!$H$58</f>
        <v>10000000</v>
      </c>
      <c r="C137" s="4">
        <v>0</v>
      </c>
      <c r="D137" s="4">
        <f>+[8]Resumennna!P318</f>
        <v>0</v>
      </c>
      <c r="E137" s="4">
        <v>0</v>
      </c>
      <c r="F137" s="4">
        <f>+[8]Resumennna!R318</f>
        <v>0</v>
      </c>
      <c r="G137" s="4">
        <f>+[8]Resumennna!S318</f>
        <v>0</v>
      </c>
      <c r="H137" s="4">
        <f>+[8]Resumennna!T318</f>
        <v>0</v>
      </c>
      <c r="I137" s="4">
        <v>0</v>
      </c>
      <c r="J137" s="4">
        <v>5000000</v>
      </c>
      <c r="K137" s="4">
        <f>+[8]Resumennna!W318</f>
        <v>0</v>
      </c>
      <c r="L137" s="4">
        <f>+[8]Resumennna!X318</f>
        <v>0</v>
      </c>
      <c r="M137" s="4">
        <v>5000000</v>
      </c>
      <c r="N137" s="4">
        <f>+[8]Resumennna!Z318</f>
        <v>0</v>
      </c>
      <c r="O137" s="4">
        <f t="shared" si="22"/>
        <v>10000000</v>
      </c>
      <c r="P137" s="34">
        <f t="shared" si="61"/>
        <v>0</v>
      </c>
      <c r="Q137" s="38"/>
      <c r="R137" s="38"/>
      <c r="S137" s="2"/>
      <c r="T137" s="2"/>
    </row>
    <row r="138" spans="1:22" s="99" customFormat="1" x14ac:dyDescent="0.25">
      <c r="A138" s="95" t="s">
        <v>147</v>
      </c>
      <c r="B138" s="4">
        <f>+'[7]Planeación 2024 P&amp;K Hoja de W'!$H$54+'[7]Planeación 2024 P&amp;K Hoja de W'!$H$55</f>
        <v>137548000</v>
      </c>
      <c r="C138" s="4">
        <v>8200000</v>
      </c>
      <c r="D138" s="4">
        <f>+C138</f>
        <v>8200000</v>
      </c>
      <c r="E138" s="4">
        <f>+D138+19574000</f>
        <v>27774000</v>
      </c>
      <c r="F138" s="4">
        <f>+D138</f>
        <v>8200000</v>
      </c>
      <c r="G138" s="4">
        <f t="shared" ref="G138:N138" si="63">+F138</f>
        <v>8200000</v>
      </c>
      <c r="H138" s="4">
        <f t="shared" si="63"/>
        <v>8200000</v>
      </c>
      <c r="I138" s="4">
        <f t="shared" si="63"/>
        <v>8200000</v>
      </c>
      <c r="J138" s="4">
        <f>+I138+19574000</f>
        <v>27774000</v>
      </c>
      <c r="K138" s="4">
        <f>+I138</f>
        <v>8200000</v>
      </c>
      <c r="L138" s="4">
        <f t="shared" si="63"/>
        <v>8200000</v>
      </c>
      <c r="M138" s="4">
        <f t="shared" si="63"/>
        <v>8200000</v>
      </c>
      <c r="N138" s="4">
        <f t="shared" si="63"/>
        <v>8200000</v>
      </c>
      <c r="O138" s="4">
        <f t="shared" si="22"/>
        <v>137548000</v>
      </c>
      <c r="P138" s="96">
        <f t="shared" si="61"/>
        <v>0</v>
      </c>
      <c r="Q138" s="97"/>
      <c r="R138" s="97"/>
      <c r="S138" s="98"/>
      <c r="T138" s="98"/>
    </row>
    <row r="139" spans="1:22" x14ac:dyDescent="0.25">
      <c r="A139" s="5" t="s">
        <v>83</v>
      </c>
      <c r="B139" s="4">
        <f>+'[7]Planeación 2024 P&amp;K Hoja de W'!$H$59</f>
        <v>6000000</v>
      </c>
      <c r="C139" s="4">
        <f>+B139/12</f>
        <v>500000</v>
      </c>
      <c r="D139" s="4">
        <f>+C139</f>
        <v>500000</v>
      </c>
      <c r="E139" s="4">
        <f t="shared" ref="E139:N139" si="64">+D139</f>
        <v>500000</v>
      </c>
      <c r="F139" s="4">
        <f t="shared" si="64"/>
        <v>500000</v>
      </c>
      <c r="G139" s="4">
        <f t="shared" si="64"/>
        <v>500000</v>
      </c>
      <c r="H139" s="4">
        <f t="shared" si="64"/>
        <v>500000</v>
      </c>
      <c r="I139" s="4">
        <f t="shared" si="64"/>
        <v>500000</v>
      </c>
      <c r="J139" s="4">
        <f t="shared" si="64"/>
        <v>500000</v>
      </c>
      <c r="K139" s="4">
        <f t="shared" si="64"/>
        <v>500000</v>
      </c>
      <c r="L139" s="4">
        <f t="shared" si="64"/>
        <v>500000</v>
      </c>
      <c r="M139" s="4">
        <f t="shared" si="64"/>
        <v>500000</v>
      </c>
      <c r="N139" s="4">
        <f t="shared" si="64"/>
        <v>500000</v>
      </c>
      <c r="O139" s="4">
        <f t="shared" si="22"/>
        <v>6000000</v>
      </c>
      <c r="P139" s="34">
        <f t="shared" si="61"/>
        <v>0</v>
      </c>
      <c r="Q139" s="38"/>
      <c r="R139" s="38"/>
      <c r="S139" s="2"/>
      <c r="T139" s="2"/>
    </row>
    <row r="140" spans="1:22" x14ac:dyDescent="0.25">
      <c r="A140" s="5" t="s">
        <v>56</v>
      </c>
      <c r="B140" s="4">
        <f>+'[7]Planeación 2024 P&amp;K Hoja de W'!$H$178</f>
        <v>18100000</v>
      </c>
      <c r="C140" s="4">
        <f>+B140/12</f>
        <v>1508333.3333333333</v>
      </c>
      <c r="D140" s="4">
        <f>+C140</f>
        <v>1508333.3333333333</v>
      </c>
      <c r="E140" s="4">
        <f t="shared" ref="E140:N140" si="65">+D140</f>
        <v>1508333.3333333333</v>
      </c>
      <c r="F140" s="4">
        <f t="shared" si="65"/>
        <v>1508333.3333333333</v>
      </c>
      <c r="G140" s="4">
        <f t="shared" si="65"/>
        <v>1508333.3333333333</v>
      </c>
      <c r="H140" s="4">
        <f t="shared" si="65"/>
        <v>1508333.3333333333</v>
      </c>
      <c r="I140" s="4">
        <f t="shared" si="65"/>
        <v>1508333.3333333333</v>
      </c>
      <c r="J140" s="4">
        <f t="shared" si="65"/>
        <v>1508333.3333333333</v>
      </c>
      <c r="K140" s="4">
        <f t="shared" si="65"/>
        <v>1508333.3333333333</v>
      </c>
      <c r="L140" s="4">
        <f t="shared" si="65"/>
        <v>1508333.3333333333</v>
      </c>
      <c r="M140" s="4">
        <f t="shared" si="65"/>
        <v>1508333.3333333333</v>
      </c>
      <c r="N140" s="4">
        <f t="shared" si="65"/>
        <v>1508333.3333333333</v>
      </c>
      <c r="O140" s="4">
        <f t="shared" si="22"/>
        <v>18100000.000000004</v>
      </c>
      <c r="P140" s="34">
        <f t="shared" si="61"/>
        <v>0</v>
      </c>
      <c r="Q140" s="38"/>
      <c r="R140" s="38"/>
      <c r="S140" s="2"/>
      <c r="T140" s="2"/>
    </row>
    <row r="141" spans="1:22" x14ac:dyDescent="0.25">
      <c r="A141" s="5" t="s">
        <v>38</v>
      </c>
      <c r="B141" s="4">
        <f>+'[7]Planeación 2024 P&amp;K Hoja de W'!$H$49</f>
        <v>29568000</v>
      </c>
      <c r="C141" s="4">
        <f>+B141/12</f>
        <v>2464000</v>
      </c>
      <c r="D141" s="4">
        <f>+C141</f>
        <v>2464000</v>
      </c>
      <c r="E141" s="4">
        <f>+D141</f>
        <v>2464000</v>
      </c>
      <c r="F141" s="4">
        <f t="shared" ref="F141:N141" si="66">+E141</f>
        <v>2464000</v>
      </c>
      <c r="G141" s="4">
        <f t="shared" si="66"/>
        <v>2464000</v>
      </c>
      <c r="H141" s="4">
        <f t="shared" si="66"/>
        <v>2464000</v>
      </c>
      <c r="I141" s="4">
        <f t="shared" si="66"/>
        <v>2464000</v>
      </c>
      <c r="J141" s="4">
        <f t="shared" si="66"/>
        <v>2464000</v>
      </c>
      <c r="K141" s="4">
        <f t="shared" si="66"/>
        <v>2464000</v>
      </c>
      <c r="L141" s="4">
        <f t="shared" si="66"/>
        <v>2464000</v>
      </c>
      <c r="M141" s="4">
        <f t="shared" si="66"/>
        <v>2464000</v>
      </c>
      <c r="N141" s="4">
        <f t="shared" si="66"/>
        <v>2464000</v>
      </c>
      <c r="O141" s="4">
        <f t="shared" si="22"/>
        <v>29568000</v>
      </c>
      <c r="P141" s="34">
        <f t="shared" si="61"/>
        <v>0</v>
      </c>
      <c r="Q141" s="38"/>
      <c r="R141" s="38"/>
      <c r="S141" s="2"/>
      <c r="T141" s="2"/>
    </row>
    <row r="142" spans="1:22" x14ac:dyDescent="0.25">
      <c r="A142" s="5" t="s">
        <v>39</v>
      </c>
      <c r="B142" s="4">
        <f>+'[7]Planeación 2024 P&amp;K Hoja de W'!$H$50</f>
        <v>764736000.00000012</v>
      </c>
      <c r="C142" s="4">
        <v>63728000</v>
      </c>
      <c r="D142" s="4">
        <f>+C142</f>
        <v>63728000</v>
      </c>
      <c r="E142" s="4">
        <f t="shared" ref="E142:N142" si="67">+D142</f>
        <v>63728000</v>
      </c>
      <c r="F142" s="4">
        <f t="shared" si="67"/>
        <v>63728000</v>
      </c>
      <c r="G142" s="4">
        <f t="shared" si="67"/>
        <v>63728000</v>
      </c>
      <c r="H142" s="4">
        <f t="shared" si="67"/>
        <v>63728000</v>
      </c>
      <c r="I142" s="4">
        <f t="shared" si="67"/>
        <v>63728000</v>
      </c>
      <c r="J142" s="4">
        <f t="shared" si="67"/>
        <v>63728000</v>
      </c>
      <c r="K142" s="4">
        <f t="shared" si="67"/>
        <v>63728000</v>
      </c>
      <c r="L142" s="4">
        <f t="shared" si="67"/>
        <v>63728000</v>
      </c>
      <c r="M142" s="4">
        <f t="shared" si="67"/>
        <v>63728000</v>
      </c>
      <c r="N142" s="4">
        <f t="shared" si="67"/>
        <v>63728000</v>
      </c>
      <c r="O142" s="4">
        <f t="shared" si="22"/>
        <v>764736000</v>
      </c>
      <c r="P142" s="34">
        <f t="shared" si="61"/>
        <v>0</v>
      </c>
      <c r="Q142" s="38"/>
      <c r="R142" s="38"/>
      <c r="S142" s="2"/>
      <c r="T142" s="2"/>
    </row>
    <row r="143" spans="1:22" x14ac:dyDescent="0.25">
      <c r="A143" s="12" t="s">
        <v>53</v>
      </c>
      <c r="B143" s="8">
        <f t="shared" ref="B143:O143" si="68">SUM(B81:B142)</f>
        <v>4836113988.7873907</v>
      </c>
      <c r="C143" s="8">
        <f t="shared" si="68"/>
        <v>210216582.39894927</v>
      </c>
      <c r="D143" s="8">
        <f t="shared" si="68"/>
        <v>229170582.39894927</v>
      </c>
      <c r="E143" s="8">
        <f t="shared" si="68"/>
        <v>307296582.39894927</v>
      </c>
      <c r="F143" s="8">
        <f t="shared" si="68"/>
        <v>253065382.39894927</v>
      </c>
      <c r="G143" s="8">
        <f t="shared" si="68"/>
        <v>295000182.39894927</v>
      </c>
      <c r="H143" s="8">
        <f t="shared" si="68"/>
        <v>294790582.39894927</v>
      </c>
      <c r="I143" s="8">
        <f t="shared" si="68"/>
        <v>272871382.39894927</v>
      </c>
      <c r="J143" s="8">
        <f t="shared" si="68"/>
        <v>294240582.39894927</v>
      </c>
      <c r="K143" s="8">
        <f t="shared" si="68"/>
        <v>1802121382.3989491</v>
      </c>
      <c r="L143" s="8">
        <f t="shared" si="68"/>
        <v>310735582.39894927</v>
      </c>
      <c r="M143" s="8">
        <f t="shared" si="68"/>
        <v>272830582.39894927</v>
      </c>
      <c r="N143" s="8">
        <f t="shared" si="68"/>
        <v>293774582.39894927</v>
      </c>
      <c r="O143" s="8">
        <f t="shared" si="68"/>
        <v>4836113988.7873907</v>
      </c>
      <c r="P143" s="34">
        <f t="shared" si="61"/>
        <v>0</v>
      </c>
      <c r="Q143" s="39"/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69">+B143+B80+B48</f>
        <v>10863395269.79406</v>
      </c>
      <c r="C144" s="15">
        <f t="shared" si="69"/>
        <v>594304604.70405233</v>
      </c>
      <c r="D144" s="15">
        <f t="shared" si="69"/>
        <v>689168746.70405233</v>
      </c>
      <c r="E144" s="15">
        <f t="shared" si="69"/>
        <v>743665867.70405233</v>
      </c>
      <c r="F144" s="15">
        <f t="shared" si="69"/>
        <v>669094667.70405233</v>
      </c>
      <c r="G144" s="15">
        <f t="shared" si="69"/>
        <v>704660588.70405233</v>
      </c>
      <c r="H144" s="15">
        <f t="shared" si="69"/>
        <v>660819867.70405233</v>
      </c>
      <c r="I144" s="15">
        <f t="shared" si="69"/>
        <v>652131788.70405233</v>
      </c>
      <c r="J144" s="15">
        <f t="shared" si="69"/>
        <v>650269867.70405233</v>
      </c>
      <c r="K144" s="15">
        <f t="shared" si="69"/>
        <v>3384150667.704052</v>
      </c>
      <c r="L144" s="15">
        <f t="shared" si="69"/>
        <v>695264867.70405233</v>
      </c>
      <c r="M144" s="15">
        <f t="shared" si="69"/>
        <v>663059867.70405233</v>
      </c>
      <c r="N144" s="15">
        <f t="shared" si="69"/>
        <v>756803867.05405235</v>
      </c>
      <c r="O144" s="15">
        <f t="shared" si="69"/>
        <v>10863395269.798628</v>
      </c>
      <c r="P144" s="34">
        <f t="shared" si="61"/>
        <v>4.5680999755859375E-3</v>
      </c>
      <c r="Q144" s="40"/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70">+B14-B144</f>
        <v>-0.49275398254394531</v>
      </c>
      <c r="C145" s="9">
        <f t="shared" si="70"/>
        <v>-418782888.01425302</v>
      </c>
      <c r="D145" s="9">
        <f t="shared" si="70"/>
        <v>-507158459.13425303</v>
      </c>
      <c r="E145" s="9">
        <f t="shared" si="70"/>
        <v>1944832990.7457471</v>
      </c>
      <c r="F145" s="9">
        <f t="shared" si="70"/>
        <v>-474107238.37425303</v>
      </c>
      <c r="G145" s="9">
        <f t="shared" si="70"/>
        <v>-503184588.49425304</v>
      </c>
      <c r="H145" s="9">
        <f t="shared" si="70"/>
        <v>-452855296.61425304</v>
      </c>
      <c r="I145" s="9">
        <f t="shared" si="70"/>
        <v>5449491436.5753069</v>
      </c>
      <c r="J145" s="9">
        <f t="shared" si="70"/>
        <v>-428007231.56742215</v>
      </c>
      <c r="K145" s="9">
        <f t="shared" si="70"/>
        <v>-3161888031.5674219</v>
      </c>
      <c r="L145" s="9">
        <f t="shared" si="70"/>
        <v>-473002231.56742215</v>
      </c>
      <c r="M145" s="9">
        <f t="shared" si="70"/>
        <v>-440797231.56742215</v>
      </c>
      <c r="N145" s="9">
        <f t="shared" si="70"/>
        <v>-534541230.91742218</v>
      </c>
      <c r="O145" s="9">
        <f t="shared" si="70"/>
        <v>-0.49732208251953125</v>
      </c>
      <c r="P145" s="34">
        <f t="shared" si="61"/>
        <v>-4.5680999755859375E-3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34">
        <f t="shared" si="61"/>
        <v>0</v>
      </c>
      <c r="T146" s="2"/>
    </row>
    <row r="147" spans="1:23" x14ac:dyDescent="0.25">
      <c r="E147" s="2"/>
      <c r="H147" s="2"/>
      <c r="I147" s="2"/>
      <c r="J147" s="2"/>
      <c r="P147" s="34">
        <f t="shared" si="61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J148" s="2"/>
      <c r="N148" s="2"/>
      <c r="P148" s="34">
        <f t="shared" si="61"/>
        <v>0</v>
      </c>
      <c r="T148" s="2">
        <f>815000000*1.07</f>
        <v>872050000</v>
      </c>
      <c r="U148" s="20"/>
      <c r="W148" s="2"/>
    </row>
    <row r="149" spans="1:23" x14ac:dyDescent="0.25">
      <c r="B149" s="2">
        <f>+'[7]Planeación 2024 P&amp;K Hoja de W'!$H$189</f>
        <v>10863395269.79406</v>
      </c>
      <c r="H149" s="2"/>
      <c r="J149" s="2"/>
      <c r="P149" s="34">
        <f t="shared" si="61"/>
        <v>-10863395269.79406</v>
      </c>
      <c r="Q149" s="2"/>
      <c r="T149" s="2">
        <v>-1173139539</v>
      </c>
      <c r="U149" s="20"/>
    </row>
    <row r="150" spans="1:23" x14ac:dyDescent="0.25">
      <c r="B150" s="2">
        <f>+B149-B144</f>
        <v>0</v>
      </c>
      <c r="H150" s="2"/>
      <c r="J150" s="2"/>
      <c r="P150" s="34">
        <f t="shared" si="61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H151" s="2"/>
      <c r="J151" s="2"/>
      <c r="P151" s="34">
        <f t="shared" si="61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61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61"/>
        <v>0</v>
      </c>
      <c r="T153" s="2" t="e">
        <f>-#REF!</f>
        <v>#REF!</v>
      </c>
    </row>
    <row r="154" spans="1:23" x14ac:dyDescent="0.25">
      <c r="H154" s="2"/>
      <c r="P154" s="34">
        <f t="shared" si="61"/>
        <v>0</v>
      </c>
      <c r="T154" s="2" t="e">
        <f>-#REF!</f>
        <v>#REF!</v>
      </c>
    </row>
    <row r="155" spans="1:23" x14ac:dyDescent="0.25">
      <c r="H155" s="2"/>
      <c r="P155" s="34">
        <f t="shared" si="61"/>
        <v>0</v>
      </c>
      <c r="T155" s="2">
        <f>+S47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N33" sqref="AN33"/>
    </sheetView>
  </sheetViews>
  <sheetFormatPr baseColWidth="10" defaultColWidth="11.42578125" defaultRowHeight="15" x14ac:dyDescent="0.25"/>
  <cols>
    <col min="1" max="1" width="73.42578125" customWidth="1"/>
    <col min="2" max="2" width="17.28515625" bestFit="1" customWidth="1"/>
    <col min="3" max="3" width="15.5703125" bestFit="1" customWidth="1"/>
    <col min="4" max="5" width="15.5703125" customWidth="1"/>
    <col min="6" max="8" width="15.5703125" hidden="1" customWidth="1"/>
    <col min="9" max="11" width="16.7109375" hidden="1" customWidth="1"/>
    <col min="12" max="23" width="16.140625" hidden="1" customWidth="1"/>
    <col min="24" max="35" width="16.7109375" hidden="1" customWidth="1"/>
    <col min="36" max="38" width="16.140625" hidden="1" customWidth="1"/>
    <col min="39" max="39" width="17.85546875" bestFit="1" customWidth="1"/>
    <col min="40" max="40" width="16.7109375" bestFit="1" customWidth="1"/>
    <col min="41" max="41" width="18.42578125" bestFit="1" customWidth="1"/>
    <col min="42" max="42" width="9.5703125" bestFit="1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hidden="1" customWidth="1"/>
    <col min="47" max="47" width="17.28515625" hidden="1" customWidth="1"/>
    <col min="48" max="48" width="18.42578125" hidden="1" customWidth="1"/>
    <col min="49" max="51" width="15.5703125" hidden="1" customWidth="1"/>
    <col min="52" max="52" width="14" hidden="1" customWidth="1"/>
    <col min="53" max="53" width="15.140625" style="79" bestFit="1" customWidth="1"/>
    <col min="54" max="54" width="11.42578125" customWidth="1"/>
  </cols>
  <sheetData>
    <row r="1" spans="1:54" x14ac:dyDescent="0.25">
      <c r="A1" s="86" t="s">
        <v>51</v>
      </c>
      <c r="B1" s="86"/>
      <c r="C1" s="86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85" t="s">
        <v>194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23"/>
      <c r="AR3" s="23"/>
      <c r="AS3" s="23"/>
    </row>
    <row r="4" spans="1:54" ht="15.75" thickBot="1" x14ac:dyDescent="0.3">
      <c r="A4" s="23"/>
      <c r="B4" s="23"/>
      <c r="C4" s="87" t="s">
        <v>105</v>
      </c>
      <c r="D4" s="88"/>
      <c r="E4" s="89"/>
      <c r="F4" s="87" t="s">
        <v>107</v>
      </c>
      <c r="G4" s="88"/>
      <c r="H4" s="89"/>
      <c r="I4" s="87" t="s">
        <v>109</v>
      </c>
      <c r="J4" s="88"/>
      <c r="K4" s="89"/>
      <c r="L4" s="87" t="s">
        <v>112</v>
      </c>
      <c r="M4" s="88"/>
      <c r="N4" s="89"/>
      <c r="O4" s="87" t="s">
        <v>113</v>
      </c>
      <c r="P4" s="88"/>
      <c r="Q4" s="89"/>
      <c r="R4" s="87" t="s">
        <v>115</v>
      </c>
      <c r="S4" s="88"/>
      <c r="T4" s="89"/>
      <c r="U4" s="87" t="s">
        <v>116</v>
      </c>
      <c r="V4" s="88"/>
      <c r="W4" s="89"/>
      <c r="X4" s="87" t="s">
        <v>117</v>
      </c>
      <c r="Y4" s="88"/>
      <c r="Z4" s="89"/>
      <c r="AA4" s="87" t="s">
        <v>122</v>
      </c>
      <c r="AB4" s="88"/>
      <c r="AC4" s="89"/>
      <c r="AD4" s="87" t="s">
        <v>123</v>
      </c>
      <c r="AE4" s="88"/>
      <c r="AF4" s="89"/>
      <c r="AG4" s="87" t="s">
        <v>124</v>
      </c>
      <c r="AH4" s="88"/>
      <c r="AI4" s="89"/>
      <c r="AJ4" s="87" t="s">
        <v>125</v>
      </c>
      <c r="AK4" s="88"/>
      <c r="AL4" s="89"/>
      <c r="AM4" s="90" t="s">
        <v>48</v>
      </c>
      <c r="AN4" s="91"/>
      <c r="AO4" s="91"/>
      <c r="AP4" s="92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18" t="s">
        <v>49</v>
      </c>
      <c r="AQ5" s="33"/>
      <c r="AR5" s="33"/>
      <c r="AS5" s="33"/>
      <c r="BA5" s="80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0</v>
      </c>
      <c r="G6" s="4"/>
      <c r="H6" s="4">
        <f t="shared" ref="H6:H22" si="0">+F6-G6</f>
        <v>0</v>
      </c>
      <c r="I6" s="4"/>
      <c r="J6" s="4"/>
      <c r="K6" s="4">
        <f t="shared" ref="K6:K25" si="1">+I6-J6</f>
        <v>0</v>
      </c>
      <c r="L6" s="4"/>
      <c r="M6" s="4"/>
      <c r="N6" s="4">
        <f t="shared" ref="N6:N12" si="2">+L6-M6</f>
        <v>0</v>
      </c>
      <c r="O6" s="4"/>
      <c r="P6" s="4"/>
      <c r="Q6" s="4">
        <f t="shared" ref="Q6:Q12" si="3">+O6-P6</f>
        <v>0</v>
      </c>
      <c r="R6" s="4"/>
      <c r="S6" s="4"/>
      <c r="T6" s="4">
        <f t="shared" ref="T6:T12" si="4">+R6-S6</f>
        <v>0</v>
      </c>
      <c r="U6" s="4"/>
      <c r="V6" s="4"/>
      <c r="W6" s="4">
        <f>+U6-V6</f>
        <v>0</v>
      </c>
      <c r="X6" s="4"/>
      <c r="Y6" s="4"/>
      <c r="Z6" s="4">
        <f t="shared" ref="Z6:Z12" si="5">+X6-Y6</f>
        <v>0</v>
      </c>
      <c r="AA6" s="4"/>
      <c r="AB6" s="4"/>
      <c r="AC6" s="4">
        <f t="shared" ref="AC6:AC25" si="6">+AA6-AB6</f>
        <v>0</v>
      </c>
      <c r="AD6" s="4"/>
      <c r="AE6" s="4"/>
      <c r="AF6" s="4">
        <f t="shared" ref="AF6:AF12" si="7">+AD6-AE6</f>
        <v>0</v>
      </c>
      <c r="AG6" s="4"/>
      <c r="AH6" s="4"/>
      <c r="AI6" s="4">
        <f t="shared" ref="AI6:AI12" si="8">+AG6-AH6</f>
        <v>0</v>
      </c>
      <c r="AJ6" s="4"/>
      <c r="AK6" s="4"/>
      <c r="AL6" s="4">
        <f t="shared" ref="AL6:AL25" si="9">+AJ6-AK6</f>
        <v>0</v>
      </c>
      <c r="AM6" s="4">
        <f>+C6+F6+I6+L6+O6+R6+U6+X6+AA6+AD6+AG6+AJ6</f>
        <v>23497414.696837816</v>
      </c>
      <c r="AN6" s="4">
        <f>+D6+G6+J6+M6+P6+S6+V6+Y6+AB6+AE6+AH6+AK6</f>
        <v>15805629.470000001</v>
      </c>
      <c r="AO6" s="4">
        <f>+AM6-AN6</f>
        <v>7691785.2268378157</v>
      </c>
      <c r="AP6" s="43">
        <f>+AO6/AM6</f>
        <v>0.32734602193801959</v>
      </c>
      <c r="AQ6" s="34">
        <f>+AM6-B6</f>
        <v>-262781425.59858099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4" si="10">+C7-D7</f>
        <v>38963757.670000002</v>
      </c>
      <c r="F7" s="4">
        <v>0</v>
      </c>
      <c r="G7" s="4"/>
      <c r="H7" s="4">
        <f t="shared" si="0"/>
        <v>0</v>
      </c>
      <c r="I7" s="4"/>
      <c r="J7" s="4"/>
      <c r="K7" s="4">
        <f t="shared" si="1"/>
        <v>0</v>
      </c>
      <c r="L7" s="4"/>
      <c r="M7" s="4"/>
      <c r="N7" s="4">
        <f t="shared" si="2"/>
        <v>0</v>
      </c>
      <c r="O7" s="4"/>
      <c r="P7" s="4"/>
      <c r="Q7" s="4">
        <f t="shared" si="3"/>
        <v>0</v>
      </c>
      <c r="R7" s="4"/>
      <c r="S7" s="4"/>
      <c r="T7" s="4">
        <f t="shared" si="4"/>
        <v>0</v>
      </c>
      <c r="U7" s="4"/>
      <c r="V7" s="4"/>
      <c r="W7" s="4">
        <f t="shared" ref="W7:W12" si="11">+U7-V7</f>
        <v>0</v>
      </c>
      <c r="X7" s="4"/>
      <c r="Y7" s="4"/>
      <c r="Z7" s="4">
        <f t="shared" si="5"/>
        <v>0</v>
      </c>
      <c r="AA7" s="4"/>
      <c r="AB7" s="4"/>
      <c r="AC7" s="4">
        <f t="shared" si="6"/>
        <v>0</v>
      </c>
      <c r="AD7" s="4"/>
      <c r="AE7" s="4"/>
      <c r="AF7" s="4">
        <f t="shared" si="7"/>
        <v>0</v>
      </c>
      <c r="AG7" s="4"/>
      <c r="AH7" s="4"/>
      <c r="AI7" s="4">
        <f t="shared" si="8"/>
        <v>0</v>
      </c>
      <c r="AJ7" s="4"/>
      <c r="AK7" s="4"/>
      <c r="AL7" s="4">
        <f t="shared" si="9"/>
        <v>0</v>
      </c>
      <c r="AM7" s="4">
        <f t="shared" ref="AM7:AM14" si="12">+C7+F7+I7+L7+O7+R7+U7+X7+AA7+AD7+AG7+AJ7</f>
        <v>69032447.25</v>
      </c>
      <c r="AN7" s="4">
        <f t="shared" ref="AN7:AN14" si="13">+D7+G7+J7+M7+P7+S7+V7+Y7+AB7+AE7+AH7+AK7</f>
        <v>30068689.579999998</v>
      </c>
      <c r="AO7" s="4">
        <f t="shared" ref="AO7:AO14" si="14">+AM7-AN7</f>
        <v>38963757.670000002</v>
      </c>
      <c r="AP7" s="43">
        <f t="shared" ref="AP7:AP9" si="15">+AO7/AM7</f>
        <v>0.56442671848056203</v>
      </c>
      <c r="AQ7" s="34">
        <f t="shared" ref="AQ7:AQ94" si="16">+AM7-B7</f>
        <v>-772018757.59357905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2"/>
        <v>1500000</v>
      </c>
      <c r="AN8" s="4"/>
      <c r="AO8" s="4">
        <f t="shared" si="14"/>
        <v>1500000</v>
      </c>
      <c r="AP8" s="43"/>
      <c r="AQ8" s="34"/>
      <c r="AR8" s="34"/>
      <c r="AS8" s="34"/>
      <c r="AT8" s="2"/>
      <c r="AU8" s="2"/>
    </row>
    <row r="9" spans="1:54" x14ac:dyDescent="0.25">
      <c r="A9" s="5" t="s">
        <v>192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0</v>
      </c>
      <c r="G9" s="4"/>
      <c r="H9" s="4">
        <f t="shared" si="0"/>
        <v>0</v>
      </c>
      <c r="I9" s="4"/>
      <c r="J9" s="4"/>
      <c r="K9" s="4">
        <f t="shared" si="1"/>
        <v>0</v>
      </c>
      <c r="L9" s="4"/>
      <c r="M9" s="4"/>
      <c r="N9" s="4">
        <f t="shared" si="2"/>
        <v>0</v>
      </c>
      <c r="O9" s="4"/>
      <c r="P9" s="4"/>
      <c r="Q9" s="4">
        <f t="shared" si="3"/>
        <v>0</v>
      </c>
      <c r="R9" s="4"/>
      <c r="S9" s="4"/>
      <c r="T9" s="4">
        <f t="shared" si="4"/>
        <v>0</v>
      </c>
      <c r="U9" s="4"/>
      <c r="V9" s="4"/>
      <c r="W9" s="4">
        <f t="shared" si="11"/>
        <v>0</v>
      </c>
      <c r="X9" s="4"/>
      <c r="Y9" s="4"/>
      <c r="Z9" s="4">
        <f t="shared" si="5"/>
        <v>0</v>
      </c>
      <c r="AA9" s="4"/>
      <c r="AB9" s="4"/>
      <c r="AC9" s="4">
        <f t="shared" si="6"/>
        <v>0</v>
      </c>
      <c r="AD9" s="4"/>
      <c r="AE9" s="4"/>
      <c r="AF9" s="4">
        <f t="shared" si="7"/>
        <v>0</v>
      </c>
      <c r="AG9" s="4"/>
      <c r="AH9" s="4"/>
      <c r="AI9" s="4">
        <f t="shared" si="8"/>
        <v>0</v>
      </c>
      <c r="AJ9" s="4"/>
      <c r="AK9" s="4"/>
      <c r="AL9" s="4">
        <f t="shared" si="9"/>
        <v>0</v>
      </c>
      <c r="AM9" s="4">
        <f t="shared" si="12"/>
        <v>66000</v>
      </c>
      <c r="AN9" s="4">
        <f t="shared" si="13"/>
        <v>429451.91</v>
      </c>
      <c r="AO9" s="4">
        <f t="shared" si="14"/>
        <v>-363451.91</v>
      </c>
      <c r="AP9" s="43">
        <f t="shared" si="15"/>
        <v>-5.5068471212121208</v>
      </c>
      <c r="AQ9" s="34">
        <f t="shared" si="16"/>
        <v>-726000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/>
      <c r="G10" s="4"/>
      <c r="H10" s="4">
        <f t="shared" si="0"/>
        <v>0</v>
      </c>
      <c r="I10" s="4"/>
      <c r="J10" s="4"/>
      <c r="K10" s="4">
        <f t="shared" si="1"/>
        <v>0</v>
      </c>
      <c r="L10" s="4"/>
      <c r="M10" s="4"/>
      <c r="N10" s="4">
        <f t="shared" si="2"/>
        <v>0</v>
      </c>
      <c r="O10" s="4"/>
      <c r="P10" s="4"/>
      <c r="Q10" s="4">
        <f t="shared" si="3"/>
        <v>0</v>
      </c>
      <c r="R10" s="4"/>
      <c r="S10" s="4"/>
      <c r="T10" s="4">
        <f t="shared" si="4"/>
        <v>0</v>
      </c>
      <c r="U10" s="4"/>
      <c r="V10" s="4"/>
      <c r="W10" s="4">
        <f t="shared" si="11"/>
        <v>0</v>
      </c>
      <c r="X10" s="4"/>
      <c r="Y10" s="4"/>
      <c r="Z10" s="4">
        <f t="shared" si="5"/>
        <v>0</v>
      </c>
      <c r="AA10" s="4"/>
      <c r="AB10" s="4"/>
      <c r="AC10" s="4">
        <f t="shared" si="6"/>
        <v>0</v>
      </c>
      <c r="AD10" s="4"/>
      <c r="AE10" s="4"/>
      <c r="AF10" s="4">
        <f t="shared" si="7"/>
        <v>0</v>
      </c>
      <c r="AG10" s="4"/>
      <c r="AH10" s="4"/>
      <c r="AI10" s="4">
        <f t="shared" si="8"/>
        <v>0</v>
      </c>
      <c r="AJ10" s="4"/>
      <c r="AK10" s="4"/>
      <c r="AL10" s="4">
        <f t="shared" si="9"/>
        <v>0</v>
      </c>
      <c r="AM10" s="4">
        <f t="shared" si="12"/>
        <v>80662092.893341199</v>
      </c>
      <c r="AN10" s="4">
        <f t="shared" si="13"/>
        <v>50172392.219999991</v>
      </c>
      <c r="AO10" s="4">
        <f t="shared" si="14"/>
        <v>30489700.673341207</v>
      </c>
      <c r="AP10" s="43">
        <f>+AO10/AM10</f>
        <v>0.37799292802453666</v>
      </c>
      <c r="AQ10" s="34">
        <f t="shared" si="16"/>
        <v>-1240135817.6014211</v>
      </c>
      <c r="AR10" s="34"/>
      <c r="AS10" s="34"/>
      <c r="AT10" s="2"/>
      <c r="AU10" s="2"/>
    </row>
    <row r="11" spans="1:54" x14ac:dyDescent="0.25">
      <c r="A11" s="5" t="s">
        <v>184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/>
      <c r="G11" s="4"/>
      <c r="H11" s="4">
        <f t="shared" si="0"/>
        <v>0</v>
      </c>
      <c r="I11" s="4"/>
      <c r="J11" s="4"/>
      <c r="K11" s="4">
        <f t="shared" si="1"/>
        <v>0</v>
      </c>
      <c r="L11" s="4"/>
      <c r="M11" s="4"/>
      <c r="N11" s="4">
        <f t="shared" si="2"/>
        <v>0</v>
      </c>
      <c r="O11" s="4"/>
      <c r="P11" s="4"/>
      <c r="Q11" s="4">
        <f t="shared" si="3"/>
        <v>0</v>
      </c>
      <c r="R11" s="4"/>
      <c r="S11" s="4"/>
      <c r="T11" s="4">
        <f t="shared" si="4"/>
        <v>0</v>
      </c>
      <c r="U11" s="4"/>
      <c r="V11" s="4"/>
      <c r="W11" s="4">
        <f t="shared" si="11"/>
        <v>0</v>
      </c>
      <c r="X11" s="4"/>
      <c r="Y11" s="4"/>
      <c r="Z11" s="4">
        <f t="shared" si="5"/>
        <v>0</v>
      </c>
      <c r="AA11" s="4"/>
      <c r="AB11" s="4"/>
      <c r="AC11" s="4">
        <f t="shared" si="6"/>
        <v>0</v>
      </c>
      <c r="AD11" s="4"/>
      <c r="AE11" s="4"/>
      <c r="AF11" s="4">
        <f t="shared" si="7"/>
        <v>0</v>
      </c>
      <c r="AG11" s="4"/>
      <c r="AH11" s="4"/>
      <c r="AI11" s="4">
        <f t="shared" si="8"/>
        <v>0</v>
      </c>
      <c r="AJ11" s="4"/>
      <c r="AK11" s="4"/>
      <c r="AL11" s="4">
        <f t="shared" si="9"/>
        <v>0</v>
      </c>
      <c r="AM11" s="4">
        <f t="shared" si="12"/>
        <v>283515.76220065932</v>
      </c>
      <c r="AN11" s="4">
        <f t="shared" si="13"/>
        <v>72195.45</v>
      </c>
      <c r="AO11" s="4">
        <f t="shared" si="14"/>
        <v>211320.3122006593</v>
      </c>
      <c r="AP11" s="43">
        <f t="shared" ref="AP11:AP14" si="17">+AO11/AM11</f>
        <v>0.74535648586302083</v>
      </c>
      <c r="AQ11" s="34">
        <f t="shared" si="16"/>
        <v>-3170675.460768193</v>
      </c>
      <c r="AR11" s="34"/>
      <c r="AS11" s="34"/>
      <c r="AT11" s="2"/>
      <c r="AU11" s="2"/>
    </row>
    <row r="12" spans="1:54" x14ac:dyDescent="0.25">
      <c r="A12" s="5" t="s">
        <v>185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/>
      <c r="G12" s="4"/>
      <c r="H12" s="4">
        <f t="shared" si="0"/>
        <v>0</v>
      </c>
      <c r="I12" s="4"/>
      <c r="J12" s="4"/>
      <c r="K12" s="4">
        <f t="shared" si="1"/>
        <v>0</v>
      </c>
      <c r="L12" s="4"/>
      <c r="M12" s="4"/>
      <c r="N12" s="4">
        <f t="shared" si="2"/>
        <v>0</v>
      </c>
      <c r="O12" s="4"/>
      <c r="P12" s="4"/>
      <c r="Q12" s="4">
        <f t="shared" si="3"/>
        <v>0</v>
      </c>
      <c r="R12" s="4"/>
      <c r="S12" s="4"/>
      <c r="T12" s="4">
        <f t="shared" si="4"/>
        <v>0</v>
      </c>
      <c r="U12" s="4"/>
      <c r="V12" s="4"/>
      <c r="W12" s="4">
        <f t="shared" si="11"/>
        <v>0</v>
      </c>
      <c r="X12" s="4"/>
      <c r="Y12" s="4"/>
      <c r="Z12" s="4">
        <f t="shared" si="5"/>
        <v>0</v>
      </c>
      <c r="AA12" s="4">
        <f>+'202401anual'!K13</f>
        <v>0</v>
      </c>
      <c r="AB12" s="4">
        <v>0</v>
      </c>
      <c r="AC12" s="4">
        <f t="shared" si="6"/>
        <v>0</v>
      </c>
      <c r="AD12" s="4"/>
      <c r="AE12" s="4"/>
      <c r="AF12" s="4">
        <f t="shared" si="7"/>
        <v>0</v>
      </c>
      <c r="AG12" s="4"/>
      <c r="AH12" s="4"/>
      <c r="AI12" s="4">
        <f t="shared" si="8"/>
        <v>0</v>
      </c>
      <c r="AJ12" s="4"/>
      <c r="AK12" s="4"/>
      <c r="AL12" s="4">
        <f t="shared" si="9"/>
        <v>0</v>
      </c>
      <c r="AM12" s="4">
        <f t="shared" si="12"/>
        <v>480246.0874196685</v>
      </c>
      <c r="AN12" s="4">
        <f t="shared" si="13"/>
        <v>71007</v>
      </c>
      <c r="AO12" s="4">
        <f t="shared" si="14"/>
        <v>409239.0874196685</v>
      </c>
      <c r="AP12" s="43">
        <f t="shared" si="17"/>
        <v>0.85214455284473822</v>
      </c>
      <c r="AQ12" s="34">
        <f t="shared" si="16"/>
        <v>-5370793.0475970497</v>
      </c>
      <c r="AR12" s="34"/>
      <c r="AS12" s="34"/>
      <c r="AT12" s="2"/>
      <c r="AU12" s="2"/>
    </row>
    <row r="13" spans="1:54" x14ac:dyDescent="0.25">
      <c r="A13" s="5" t="s">
        <v>193</v>
      </c>
      <c r="B13" s="4"/>
      <c r="C13" s="4"/>
      <c r="D13" s="4">
        <v>36936117.219999999</v>
      </c>
      <c r="E13" s="4">
        <f t="shared" si="10"/>
        <v>-36936117.219999999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2"/>
        <v>0</v>
      </c>
      <c r="AN13" s="4">
        <f t="shared" si="13"/>
        <v>36936117.219999999</v>
      </c>
      <c r="AO13" s="4">
        <f t="shared" si="14"/>
        <v>-36936117.219999999</v>
      </c>
      <c r="AP13" s="43" t="e">
        <f t="shared" si="17"/>
        <v>#DIV/0!</v>
      </c>
      <c r="AQ13" s="34"/>
      <c r="AR13" s="34"/>
      <c r="AS13" s="34"/>
      <c r="AT13" s="2"/>
      <c r="AU13" s="2"/>
    </row>
    <row r="14" spans="1:54" x14ac:dyDescent="0.25">
      <c r="A14" s="5" t="s">
        <v>130</v>
      </c>
      <c r="B14" s="4">
        <v>8387170083.3095598</v>
      </c>
      <c r="C14" s="4">
        <v>0</v>
      </c>
      <c r="D14" s="4">
        <v>0</v>
      </c>
      <c r="E14" s="4">
        <f t="shared" si="10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2"/>
        <v>0</v>
      </c>
      <c r="AN14" s="4">
        <f t="shared" si="13"/>
        <v>0</v>
      </c>
      <c r="AO14" s="4">
        <f t="shared" si="14"/>
        <v>0</v>
      </c>
      <c r="AP14" s="43" t="e">
        <f t="shared" si="17"/>
        <v>#DIV/0!</v>
      </c>
      <c r="AQ14" s="34"/>
      <c r="AR14" s="34"/>
      <c r="AS14" s="34"/>
      <c r="AT14" s="2"/>
      <c r="AU14" s="2"/>
    </row>
    <row r="15" spans="1:54" ht="18.75" x14ac:dyDescent="0.3">
      <c r="A15" s="11" t="s">
        <v>2</v>
      </c>
      <c r="B15" s="7">
        <f t="shared" ref="B15:C15" si="18">SUM(B6:B14)</f>
        <v>10863395269.301306</v>
      </c>
      <c r="C15" s="7">
        <f t="shared" si="18"/>
        <v>175521716.68979934</v>
      </c>
      <c r="D15" s="7">
        <f>SUM(D6:D14)</f>
        <v>148006091.18000001</v>
      </c>
      <c r="E15" s="7">
        <f t="shared" ref="E15:AO15" si="19">SUM(E6:E14)</f>
        <v>27515625.509799346</v>
      </c>
      <c r="F15" s="7">
        <f t="shared" si="19"/>
        <v>0</v>
      </c>
      <c r="G15" s="7">
        <f t="shared" si="19"/>
        <v>0</v>
      </c>
      <c r="H15" s="7">
        <f t="shared" si="19"/>
        <v>0</v>
      </c>
      <c r="I15" s="7">
        <f t="shared" si="19"/>
        <v>0</v>
      </c>
      <c r="J15" s="7">
        <f t="shared" si="19"/>
        <v>0</v>
      </c>
      <c r="K15" s="7">
        <f t="shared" si="19"/>
        <v>0</v>
      </c>
      <c r="L15" s="7">
        <f t="shared" si="19"/>
        <v>0</v>
      </c>
      <c r="M15" s="7">
        <f t="shared" si="19"/>
        <v>0</v>
      </c>
      <c r="N15" s="7">
        <f t="shared" si="19"/>
        <v>0</v>
      </c>
      <c r="O15" s="7">
        <f t="shared" si="19"/>
        <v>0</v>
      </c>
      <c r="P15" s="7">
        <f t="shared" si="19"/>
        <v>0</v>
      </c>
      <c r="Q15" s="7">
        <f t="shared" si="19"/>
        <v>0</v>
      </c>
      <c r="R15" s="7">
        <f t="shared" si="19"/>
        <v>0</v>
      </c>
      <c r="S15" s="7">
        <f t="shared" si="19"/>
        <v>0</v>
      </c>
      <c r="T15" s="7">
        <f t="shared" si="19"/>
        <v>0</v>
      </c>
      <c r="U15" s="7">
        <f t="shared" si="19"/>
        <v>0</v>
      </c>
      <c r="V15" s="7">
        <f t="shared" si="19"/>
        <v>0</v>
      </c>
      <c r="W15" s="7">
        <f t="shared" si="19"/>
        <v>0</v>
      </c>
      <c r="X15" s="7">
        <f t="shared" si="19"/>
        <v>0</v>
      </c>
      <c r="Y15" s="7">
        <f t="shared" si="19"/>
        <v>0</v>
      </c>
      <c r="Z15" s="7">
        <f t="shared" si="19"/>
        <v>0</v>
      </c>
      <c r="AA15" s="7">
        <f t="shared" si="19"/>
        <v>0</v>
      </c>
      <c r="AB15" s="7">
        <f t="shared" si="19"/>
        <v>0</v>
      </c>
      <c r="AC15" s="7">
        <f t="shared" si="19"/>
        <v>0</v>
      </c>
      <c r="AD15" s="7">
        <f t="shared" si="19"/>
        <v>0</v>
      </c>
      <c r="AE15" s="7">
        <f t="shared" si="19"/>
        <v>0</v>
      </c>
      <c r="AF15" s="7">
        <f t="shared" si="19"/>
        <v>0</v>
      </c>
      <c r="AG15" s="7">
        <f t="shared" si="19"/>
        <v>0</v>
      </c>
      <c r="AH15" s="7">
        <f t="shared" si="19"/>
        <v>0</v>
      </c>
      <c r="AI15" s="7">
        <f t="shared" si="19"/>
        <v>0</v>
      </c>
      <c r="AJ15" s="7">
        <f t="shared" si="19"/>
        <v>0</v>
      </c>
      <c r="AK15" s="7">
        <f t="shared" si="19"/>
        <v>0</v>
      </c>
      <c r="AL15" s="7">
        <f t="shared" si="19"/>
        <v>0</v>
      </c>
      <c r="AM15" s="7">
        <f t="shared" si="19"/>
        <v>175521716.68979934</v>
      </c>
      <c r="AN15" s="7">
        <f t="shared" si="19"/>
        <v>133555482.84999998</v>
      </c>
      <c r="AO15" s="7">
        <f t="shared" si="19"/>
        <v>41966233.839799359</v>
      </c>
      <c r="AP15" s="31">
        <f t="shared" ref="AP15:AP23" si="20">+AO15/AM15</f>
        <v>0.23909425358439579</v>
      </c>
      <c r="AQ15" s="34">
        <f t="shared" si="16"/>
        <v>-10687873552.611506</v>
      </c>
      <c r="AR15" s="35"/>
      <c r="AS15" s="35"/>
      <c r="AT15" s="2"/>
      <c r="AU15" s="2"/>
      <c r="BB15" s="2"/>
    </row>
    <row r="16" spans="1:54" x14ac:dyDescent="0.25">
      <c r="A16" s="5" t="s">
        <v>36</v>
      </c>
      <c r="B16" s="4">
        <v>975398331.34543312</v>
      </c>
      <c r="C16" s="4">
        <v>81283194</v>
      </c>
      <c r="D16" s="4">
        <v>80344550</v>
      </c>
      <c r="E16" s="4">
        <f t="shared" ref="E16:E25" si="21">+C16-D16</f>
        <v>938644</v>
      </c>
      <c r="F16" s="4"/>
      <c r="G16" s="4"/>
      <c r="H16" s="4">
        <f t="shared" si="0"/>
        <v>0</v>
      </c>
      <c r="I16" s="4"/>
      <c r="J16" s="4"/>
      <c r="K16" s="4">
        <f t="shared" si="1"/>
        <v>0</v>
      </c>
      <c r="L16" s="4"/>
      <c r="M16" s="4"/>
      <c r="N16" s="4">
        <f t="shared" ref="N16:N22" si="22">+L16-M16</f>
        <v>0</v>
      </c>
      <c r="O16" s="4"/>
      <c r="P16" s="4"/>
      <c r="Q16" s="4">
        <f t="shared" ref="Q16:Q22" si="23">+O16-P16</f>
        <v>0</v>
      </c>
      <c r="R16" s="4"/>
      <c r="S16" s="4"/>
      <c r="T16" s="4">
        <f t="shared" ref="T16:T22" si="24">+R16-S16</f>
        <v>0</v>
      </c>
      <c r="U16" s="4"/>
      <c r="V16" s="4"/>
      <c r="W16" s="4">
        <f t="shared" ref="W16:W22" si="25">+U16-V16</f>
        <v>0</v>
      </c>
      <c r="X16" s="4"/>
      <c r="Y16" s="4"/>
      <c r="Z16" s="4">
        <f t="shared" ref="Z16:Z22" si="26">+X16-Y16</f>
        <v>0</v>
      </c>
      <c r="AA16" s="4"/>
      <c r="AB16" s="4"/>
      <c r="AC16" s="4">
        <f t="shared" si="6"/>
        <v>0</v>
      </c>
      <c r="AD16" s="4"/>
      <c r="AE16" s="4"/>
      <c r="AF16" s="4">
        <f t="shared" ref="AF16:AF22" si="27">+AD16-AE16</f>
        <v>0</v>
      </c>
      <c r="AG16" s="4"/>
      <c r="AH16" s="4"/>
      <c r="AI16" s="4">
        <f>+AG16-AH16</f>
        <v>0</v>
      </c>
      <c r="AJ16" s="4"/>
      <c r="AK16" s="4"/>
      <c r="AL16" s="4">
        <f t="shared" si="9"/>
        <v>0</v>
      </c>
      <c r="AM16" s="4">
        <f t="shared" ref="AM16:AM22" si="28">+C16+F16+I16+L16+O16+R16+U16+X16+AA16+AD16+AG16+AJ16</f>
        <v>81283194</v>
      </c>
      <c r="AN16" s="4">
        <f t="shared" ref="AN16:AN22" si="29">+D16+G16+J16+M16+P16+S16+V16+Y16+AB16+AE16+AH16+AK16</f>
        <v>80344550</v>
      </c>
      <c r="AO16" s="4">
        <f>+AM16-AN16</f>
        <v>938644</v>
      </c>
      <c r="AP16" s="43">
        <f t="shared" si="20"/>
        <v>1.1547823772771528E-2</v>
      </c>
      <c r="AQ16" s="34">
        <f t="shared" si="16"/>
        <v>-894115137.34543312</v>
      </c>
      <c r="AR16" s="36"/>
      <c r="AS16" s="36"/>
      <c r="AT16" s="2"/>
      <c r="AU16" s="2"/>
    </row>
    <row r="17" spans="1:54" ht="45" hidden="1" x14ac:dyDescent="0.25">
      <c r="A17" s="21" t="s">
        <v>65</v>
      </c>
      <c r="B17" s="4">
        <v>0</v>
      </c>
      <c r="C17" s="4">
        <v>0</v>
      </c>
      <c r="D17" s="4"/>
      <c r="E17" s="4">
        <f t="shared" si="21"/>
        <v>0</v>
      </c>
      <c r="F17" s="4">
        <f>+'202401anual'!D16</f>
        <v>0</v>
      </c>
      <c r="G17" s="4"/>
      <c r="H17" s="4">
        <f t="shared" si="0"/>
        <v>0</v>
      </c>
      <c r="I17" s="4"/>
      <c r="J17" s="4"/>
      <c r="K17" s="4">
        <f t="shared" si="1"/>
        <v>0</v>
      </c>
      <c r="L17" s="4"/>
      <c r="M17" s="4"/>
      <c r="N17" s="4">
        <f t="shared" si="22"/>
        <v>0</v>
      </c>
      <c r="O17" s="4"/>
      <c r="P17" s="4"/>
      <c r="Q17" s="4">
        <f t="shared" si="23"/>
        <v>0</v>
      </c>
      <c r="R17" s="4"/>
      <c r="S17" s="4"/>
      <c r="T17" s="4">
        <f t="shared" si="24"/>
        <v>0</v>
      </c>
      <c r="U17" s="4"/>
      <c r="V17" s="4"/>
      <c r="W17" s="4">
        <f t="shared" si="25"/>
        <v>0</v>
      </c>
      <c r="X17" s="4"/>
      <c r="Y17" s="4"/>
      <c r="Z17" s="4">
        <f t="shared" si="26"/>
        <v>0</v>
      </c>
      <c r="AA17" s="4"/>
      <c r="AB17" s="4"/>
      <c r="AC17" s="4">
        <f t="shared" si="6"/>
        <v>0</v>
      </c>
      <c r="AD17" s="4"/>
      <c r="AE17" s="4"/>
      <c r="AF17" s="4">
        <f t="shared" si="27"/>
        <v>0</v>
      </c>
      <c r="AG17" s="4"/>
      <c r="AH17" s="4"/>
      <c r="AI17" s="4">
        <f t="shared" ref="AI17:AI25" si="30">+AG17-AH17</f>
        <v>0</v>
      </c>
      <c r="AJ17" s="4"/>
      <c r="AK17" s="4"/>
      <c r="AL17" s="4">
        <f t="shared" si="9"/>
        <v>0</v>
      </c>
      <c r="AM17" s="4">
        <f t="shared" si="28"/>
        <v>0</v>
      </c>
      <c r="AN17" s="4">
        <f t="shared" si="29"/>
        <v>0</v>
      </c>
      <c r="AO17" s="4">
        <f t="shared" ref="AO17:AO22" si="31">+AM17-AN17</f>
        <v>0</v>
      </c>
      <c r="AP17" s="43" t="e">
        <f t="shared" si="20"/>
        <v>#DIV/0!</v>
      </c>
      <c r="AQ17" s="34">
        <f t="shared" si="16"/>
        <v>0</v>
      </c>
      <c r="AR17" s="36"/>
      <c r="AS17" s="36"/>
      <c r="AT17" s="2"/>
      <c r="AU17" s="2"/>
    </row>
    <row r="18" spans="1:54" x14ac:dyDescent="0.25">
      <c r="A18" s="5" t="s">
        <v>9</v>
      </c>
      <c r="B18" s="4">
        <v>265600000</v>
      </c>
      <c r="C18" s="4">
        <v>8000000</v>
      </c>
      <c r="D18" s="4">
        <v>0</v>
      </c>
      <c r="E18" s="4">
        <f t="shared" si="21"/>
        <v>8000000</v>
      </c>
      <c r="F18" s="4"/>
      <c r="G18" s="4"/>
      <c r="H18" s="4">
        <f t="shared" si="0"/>
        <v>0</v>
      </c>
      <c r="I18" s="4"/>
      <c r="J18" s="4"/>
      <c r="K18" s="4">
        <f t="shared" si="1"/>
        <v>0</v>
      </c>
      <c r="L18" s="4"/>
      <c r="M18" s="4"/>
      <c r="N18" s="4">
        <f t="shared" si="22"/>
        <v>0</v>
      </c>
      <c r="O18" s="4"/>
      <c r="P18" s="4"/>
      <c r="Q18" s="4">
        <f t="shared" si="23"/>
        <v>0</v>
      </c>
      <c r="R18" s="4"/>
      <c r="S18" s="4"/>
      <c r="T18" s="4">
        <f t="shared" si="24"/>
        <v>0</v>
      </c>
      <c r="U18" s="4"/>
      <c r="V18" s="4"/>
      <c r="W18" s="4">
        <f t="shared" si="25"/>
        <v>0</v>
      </c>
      <c r="X18" s="4"/>
      <c r="Y18" s="4"/>
      <c r="Z18" s="4">
        <f t="shared" si="26"/>
        <v>0</v>
      </c>
      <c r="AA18" s="4"/>
      <c r="AB18" s="4"/>
      <c r="AC18" s="4">
        <f t="shared" si="6"/>
        <v>0</v>
      </c>
      <c r="AD18" s="4"/>
      <c r="AE18" s="4"/>
      <c r="AF18" s="4">
        <f t="shared" si="27"/>
        <v>0</v>
      </c>
      <c r="AG18" s="4"/>
      <c r="AH18" s="4"/>
      <c r="AI18" s="4">
        <f t="shared" si="30"/>
        <v>0</v>
      </c>
      <c r="AJ18" s="4"/>
      <c r="AK18" s="4"/>
      <c r="AL18" s="4">
        <f t="shared" si="9"/>
        <v>0</v>
      </c>
      <c r="AM18" s="4">
        <f>+C18+F18+I18+L18+O18+R18+U18+X18+AA18+AD18+AG18+AJ18</f>
        <v>8000000</v>
      </c>
      <c r="AN18" s="4">
        <f t="shared" si="29"/>
        <v>0</v>
      </c>
      <c r="AO18" s="4">
        <f t="shared" si="31"/>
        <v>8000000</v>
      </c>
      <c r="AP18" s="43">
        <f t="shared" si="20"/>
        <v>1</v>
      </c>
      <c r="AQ18" s="34">
        <f t="shared" si="16"/>
        <v>-257600000</v>
      </c>
      <c r="AR18" s="36"/>
      <c r="AS18" s="36"/>
      <c r="AT18" s="2"/>
      <c r="AU18" s="37"/>
      <c r="AV18" s="20"/>
      <c r="AW18" s="20"/>
      <c r="AX18" s="20"/>
      <c r="AY18" s="20"/>
      <c r="AZ18" s="20"/>
    </row>
    <row r="19" spans="1:54" x14ac:dyDescent="0.25">
      <c r="A19" s="5" t="s">
        <v>8</v>
      </c>
      <c r="B19" s="4">
        <v>1310640000</v>
      </c>
      <c r="C19" s="4">
        <v>4220000</v>
      </c>
      <c r="D19" s="4">
        <v>0</v>
      </c>
      <c r="E19" s="4">
        <f t="shared" si="21"/>
        <v>4220000</v>
      </c>
      <c r="F19" s="4"/>
      <c r="G19" s="4"/>
      <c r="H19" s="4">
        <f t="shared" si="0"/>
        <v>0</v>
      </c>
      <c r="I19" s="4"/>
      <c r="J19" s="4"/>
      <c r="K19" s="4">
        <f t="shared" si="1"/>
        <v>0</v>
      </c>
      <c r="L19" s="4"/>
      <c r="M19" s="4"/>
      <c r="N19" s="4">
        <f t="shared" si="22"/>
        <v>0</v>
      </c>
      <c r="O19" s="4"/>
      <c r="P19" s="4"/>
      <c r="Q19" s="4">
        <f t="shared" si="23"/>
        <v>0</v>
      </c>
      <c r="R19" s="4"/>
      <c r="S19" s="4"/>
      <c r="T19" s="4">
        <f t="shared" si="24"/>
        <v>0</v>
      </c>
      <c r="U19" s="4"/>
      <c r="V19" s="4"/>
      <c r="W19" s="4">
        <f t="shared" si="25"/>
        <v>0</v>
      </c>
      <c r="X19" s="4"/>
      <c r="Y19" s="4"/>
      <c r="Z19" s="4">
        <f t="shared" si="26"/>
        <v>0</v>
      </c>
      <c r="AA19" s="4"/>
      <c r="AB19" s="4"/>
      <c r="AC19" s="4">
        <f t="shared" si="6"/>
        <v>0</v>
      </c>
      <c r="AD19" s="4"/>
      <c r="AE19" s="4"/>
      <c r="AF19" s="4">
        <f t="shared" si="27"/>
        <v>0</v>
      </c>
      <c r="AG19" s="4"/>
      <c r="AH19" s="4"/>
      <c r="AI19" s="4">
        <f t="shared" si="30"/>
        <v>0</v>
      </c>
      <c r="AJ19" s="4"/>
      <c r="AK19" s="4"/>
      <c r="AL19" s="4">
        <f t="shared" si="9"/>
        <v>0</v>
      </c>
      <c r="AM19" s="4">
        <f>+C19+F19+I19+L19+O19+R19+U19+X19+AA19+AD19+AG19+AJ19</f>
        <v>4220000</v>
      </c>
      <c r="AN19" s="4">
        <f t="shared" si="29"/>
        <v>0</v>
      </c>
      <c r="AO19" s="4">
        <f t="shared" si="31"/>
        <v>4220000</v>
      </c>
      <c r="AP19" s="43">
        <f t="shared" si="20"/>
        <v>1</v>
      </c>
      <c r="AQ19" s="34">
        <f t="shared" si="16"/>
        <v>-1306420000</v>
      </c>
      <c r="AR19" s="36"/>
      <c r="AS19" s="2"/>
      <c r="AU19" s="37"/>
      <c r="AV19" s="20"/>
      <c r="AW19" s="20"/>
      <c r="AX19" s="20"/>
      <c r="AY19" s="20"/>
      <c r="AZ19" s="20"/>
    </row>
    <row r="20" spans="1:54" hidden="1" x14ac:dyDescent="0.25">
      <c r="A20" s="5" t="s">
        <v>10</v>
      </c>
      <c r="B20" s="4">
        <v>0</v>
      </c>
      <c r="C20" s="4">
        <v>0</v>
      </c>
      <c r="D20" s="4">
        <v>0</v>
      </c>
      <c r="E20" s="4">
        <f t="shared" si="21"/>
        <v>0</v>
      </c>
      <c r="F20" s="4"/>
      <c r="G20" s="4"/>
      <c r="H20" s="4">
        <f t="shared" si="0"/>
        <v>0</v>
      </c>
      <c r="I20" s="4"/>
      <c r="J20" s="4"/>
      <c r="K20" s="4">
        <f t="shared" si="1"/>
        <v>0</v>
      </c>
      <c r="L20" s="4"/>
      <c r="M20" s="4"/>
      <c r="N20" s="4">
        <f t="shared" si="22"/>
        <v>0</v>
      </c>
      <c r="O20" s="4"/>
      <c r="P20" s="4"/>
      <c r="Q20" s="4">
        <f t="shared" si="23"/>
        <v>0</v>
      </c>
      <c r="R20" s="4"/>
      <c r="S20" s="4"/>
      <c r="T20" s="4">
        <f t="shared" si="24"/>
        <v>0</v>
      </c>
      <c r="U20" s="4"/>
      <c r="V20" s="4"/>
      <c r="W20" s="4">
        <f t="shared" si="25"/>
        <v>0</v>
      </c>
      <c r="X20" s="4"/>
      <c r="Y20" s="4"/>
      <c r="Z20" s="4">
        <f t="shared" si="26"/>
        <v>0</v>
      </c>
      <c r="AA20" s="4"/>
      <c r="AB20" s="4"/>
      <c r="AC20" s="4">
        <f t="shared" si="6"/>
        <v>0</v>
      </c>
      <c r="AD20" s="4"/>
      <c r="AE20" s="4"/>
      <c r="AF20" s="4">
        <f t="shared" si="27"/>
        <v>0</v>
      </c>
      <c r="AG20" s="4"/>
      <c r="AH20" s="4"/>
      <c r="AI20" s="4">
        <f t="shared" si="30"/>
        <v>0</v>
      </c>
      <c r="AJ20" s="4"/>
      <c r="AK20" s="4"/>
      <c r="AL20" s="4">
        <f t="shared" si="9"/>
        <v>0</v>
      </c>
      <c r="AM20" s="4">
        <f t="shared" si="28"/>
        <v>0</v>
      </c>
      <c r="AN20" s="4">
        <f t="shared" si="29"/>
        <v>0</v>
      </c>
      <c r="AO20" s="4">
        <f t="shared" si="31"/>
        <v>0</v>
      </c>
      <c r="AP20" s="43">
        <v>0</v>
      </c>
      <c r="AQ20" s="34">
        <f t="shared" si="16"/>
        <v>0</v>
      </c>
      <c r="AR20" s="36"/>
      <c r="AS20" s="36"/>
      <c r="AT20" s="2"/>
      <c r="AU20" s="37"/>
      <c r="AV20" s="20"/>
      <c r="AW20" s="20"/>
      <c r="AX20" s="20"/>
      <c r="AY20" s="20"/>
      <c r="AZ20" s="20"/>
    </row>
    <row r="21" spans="1:54" hidden="1" x14ac:dyDescent="0.25">
      <c r="A21" s="5" t="s">
        <v>11</v>
      </c>
      <c r="B21" s="4">
        <v>0</v>
      </c>
      <c r="C21" s="4">
        <v>0</v>
      </c>
      <c r="D21" s="4">
        <v>0</v>
      </c>
      <c r="E21" s="4">
        <f t="shared" si="21"/>
        <v>0</v>
      </c>
      <c r="F21" s="4"/>
      <c r="G21" s="4"/>
      <c r="H21" s="4">
        <f t="shared" si="0"/>
        <v>0</v>
      </c>
      <c r="I21" s="4"/>
      <c r="J21" s="4"/>
      <c r="K21" s="4">
        <f t="shared" si="1"/>
        <v>0</v>
      </c>
      <c r="L21" s="4"/>
      <c r="M21" s="4"/>
      <c r="N21" s="4">
        <f t="shared" si="22"/>
        <v>0</v>
      </c>
      <c r="O21" s="4"/>
      <c r="P21" s="4"/>
      <c r="Q21" s="4">
        <f t="shared" si="23"/>
        <v>0</v>
      </c>
      <c r="R21" s="4"/>
      <c r="S21" s="4"/>
      <c r="T21" s="4">
        <f t="shared" si="24"/>
        <v>0</v>
      </c>
      <c r="U21" s="4"/>
      <c r="V21" s="4"/>
      <c r="W21" s="4">
        <f t="shared" si="25"/>
        <v>0</v>
      </c>
      <c r="X21" s="4"/>
      <c r="Y21" s="4"/>
      <c r="Z21" s="4">
        <f t="shared" si="26"/>
        <v>0</v>
      </c>
      <c r="AA21" s="4"/>
      <c r="AB21" s="4"/>
      <c r="AC21" s="4">
        <f t="shared" si="6"/>
        <v>0</v>
      </c>
      <c r="AD21" s="4"/>
      <c r="AE21" s="4"/>
      <c r="AF21" s="4">
        <f t="shared" si="27"/>
        <v>0</v>
      </c>
      <c r="AG21" s="4"/>
      <c r="AH21" s="4"/>
      <c r="AI21" s="4">
        <f t="shared" si="30"/>
        <v>0</v>
      </c>
      <c r="AJ21" s="4"/>
      <c r="AK21" s="4"/>
      <c r="AL21" s="4">
        <f t="shared" si="9"/>
        <v>0</v>
      </c>
      <c r="AM21" s="4">
        <f t="shared" si="28"/>
        <v>0</v>
      </c>
      <c r="AN21" s="4">
        <f t="shared" si="29"/>
        <v>0</v>
      </c>
      <c r="AO21" s="4">
        <f t="shared" si="31"/>
        <v>0</v>
      </c>
      <c r="AP21" s="43" t="e">
        <f t="shared" si="20"/>
        <v>#DIV/0!</v>
      </c>
      <c r="AQ21" s="34">
        <f t="shared" si="16"/>
        <v>0</v>
      </c>
      <c r="AR21" s="36"/>
      <c r="AS21" s="36"/>
      <c r="AT21" s="2"/>
      <c r="AU21" s="37"/>
      <c r="AV21" s="20"/>
      <c r="AW21" s="20"/>
      <c r="AX21" s="20"/>
      <c r="AY21" s="20"/>
      <c r="AZ21" s="20"/>
    </row>
    <row r="22" spans="1:54" x14ac:dyDescent="0.25">
      <c r="A22" s="5" t="s">
        <v>12</v>
      </c>
      <c r="B22" s="4">
        <v>616180000</v>
      </c>
      <c r="C22" s="4">
        <v>46765000</v>
      </c>
      <c r="D22" s="4">
        <v>681340</v>
      </c>
      <c r="E22" s="4">
        <f t="shared" si="21"/>
        <v>46083660</v>
      </c>
      <c r="F22" s="4"/>
      <c r="G22" s="4"/>
      <c r="H22" s="4">
        <f t="shared" si="0"/>
        <v>0</v>
      </c>
      <c r="I22" s="4"/>
      <c r="J22" s="4"/>
      <c r="K22" s="4">
        <f t="shared" si="1"/>
        <v>0</v>
      </c>
      <c r="L22" s="4"/>
      <c r="M22" s="4"/>
      <c r="N22" s="4">
        <f t="shared" si="22"/>
        <v>0</v>
      </c>
      <c r="O22" s="4"/>
      <c r="P22" s="4"/>
      <c r="Q22" s="4">
        <f t="shared" si="23"/>
        <v>0</v>
      </c>
      <c r="R22" s="4"/>
      <c r="S22" s="4"/>
      <c r="T22" s="4">
        <f t="shared" si="24"/>
        <v>0</v>
      </c>
      <c r="U22" s="4"/>
      <c r="V22" s="4"/>
      <c r="W22" s="4">
        <f t="shared" si="25"/>
        <v>0</v>
      </c>
      <c r="X22" s="4"/>
      <c r="Y22" s="4"/>
      <c r="Z22" s="4">
        <f t="shared" si="26"/>
        <v>0</v>
      </c>
      <c r="AA22" s="4"/>
      <c r="AB22" s="4"/>
      <c r="AC22" s="4">
        <f t="shared" si="6"/>
        <v>0</v>
      </c>
      <c r="AD22" s="4"/>
      <c r="AE22" s="4"/>
      <c r="AF22" s="4">
        <f t="shared" si="27"/>
        <v>0</v>
      </c>
      <c r="AG22" s="4"/>
      <c r="AH22" s="4"/>
      <c r="AI22" s="4">
        <f t="shared" si="30"/>
        <v>0</v>
      </c>
      <c r="AJ22" s="4"/>
      <c r="AK22" s="4"/>
      <c r="AL22" s="4">
        <f t="shared" si="9"/>
        <v>0</v>
      </c>
      <c r="AM22" s="4">
        <f t="shared" si="28"/>
        <v>46765000</v>
      </c>
      <c r="AN22" s="4">
        <f t="shared" si="29"/>
        <v>681340</v>
      </c>
      <c r="AO22" s="4">
        <f t="shared" si="31"/>
        <v>46083660</v>
      </c>
      <c r="AP22" s="43">
        <f t="shared" si="20"/>
        <v>0.98543055704052174</v>
      </c>
      <c r="AQ22" s="34">
        <f t="shared" si="16"/>
        <v>-569415000</v>
      </c>
      <c r="AR22" s="36"/>
      <c r="AS22" s="36"/>
      <c r="AT22" s="2"/>
      <c r="AU22" s="37"/>
      <c r="AV22" s="20"/>
      <c r="AW22" s="20"/>
      <c r="AX22" s="20"/>
      <c r="AY22" s="20"/>
      <c r="AZ22" s="20"/>
    </row>
    <row r="23" spans="1:54" x14ac:dyDescent="0.25">
      <c r="A23" s="12" t="s">
        <v>13</v>
      </c>
      <c r="B23" s="8">
        <f>SUM(B16:B22)</f>
        <v>3167818331.3454332</v>
      </c>
      <c r="C23" s="8">
        <f>SUM(C16:C22)</f>
        <v>140268194</v>
      </c>
      <c r="D23" s="8">
        <f t="shared" ref="D23:AL23" si="32">SUM(D16:D22)</f>
        <v>81025890</v>
      </c>
      <c r="E23" s="8">
        <f t="shared" si="32"/>
        <v>59242304</v>
      </c>
      <c r="F23" s="8">
        <f t="shared" si="32"/>
        <v>0</v>
      </c>
      <c r="G23" s="8">
        <f t="shared" si="32"/>
        <v>0</v>
      </c>
      <c r="H23" s="8">
        <f t="shared" si="32"/>
        <v>0</v>
      </c>
      <c r="I23" s="8">
        <f t="shared" si="32"/>
        <v>0</v>
      </c>
      <c r="J23" s="8">
        <f t="shared" si="32"/>
        <v>0</v>
      </c>
      <c r="K23" s="8">
        <f t="shared" si="32"/>
        <v>0</v>
      </c>
      <c r="L23" s="8">
        <f t="shared" ref="L23:N23" si="33">SUM(L16:L22)</f>
        <v>0</v>
      </c>
      <c r="M23" s="8">
        <f t="shared" si="33"/>
        <v>0</v>
      </c>
      <c r="N23" s="8">
        <f t="shared" si="33"/>
        <v>0</v>
      </c>
      <c r="O23" s="8">
        <f t="shared" si="32"/>
        <v>0</v>
      </c>
      <c r="P23" s="8">
        <f t="shared" si="32"/>
        <v>0</v>
      </c>
      <c r="Q23" s="8">
        <f t="shared" ref="Q23" si="34">SUM(Q16:Q22)</f>
        <v>0</v>
      </c>
      <c r="R23" s="8"/>
      <c r="S23" s="8">
        <f t="shared" ref="S23:W23" si="35">SUM(S16:S22)</f>
        <v>0</v>
      </c>
      <c r="T23" s="8">
        <f t="shared" si="35"/>
        <v>0</v>
      </c>
      <c r="U23" s="8">
        <f t="shared" si="35"/>
        <v>0</v>
      </c>
      <c r="V23" s="49">
        <f>SUM(V16:V22)</f>
        <v>0</v>
      </c>
      <c r="W23" s="8">
        <f t="shared" si="35"/>
        <v>0</v>
      </c>
      <c r="X23" s="8">
        <f t="shared" ref="X23" si="36">SUM(X16:X22)</f>
        <v>0</v>
      </c>
      <c r="Y23" s="8">
        <f>SUM(Y16:Y22)</f>
        <v>0</v>
      </c>
      <c r="Z23" s="8">
        <f t="shared" ref="Z23" si="37">SUM(Z16:Z22)</f>
        <v>0</v>
      </c>
      <c r="AA23" s="8">
        <f t="shared" si="32"/>
        <v>0</v>
      </c>
      <c r="AB23" s="8">
        <f t="shared" si="32"/>
        <v>0</v>
      </c>
      <c r="AC23" s="8">
        <f t="shared" si="32"/>
        <v>0</v>
      </c>
      <c r="AD23" s="8">
        <f t="shared" si="32"/>
        <v>0</v>
      </c>
      <c r="AE23" s="8">
        <f t="shared" si="32"/>
        <v>0</v>
      </c>
      <c r="AF23" s="8">
        <f t="shared" si="32"/>
        <v>0</v>
      </c>
      <c r="AG23" s="8">
        <f t="shared" si="32"/>
        <v>0</v>
      </c>
      <c r="AH23" s="8">
        <f t="shared" si="32"/>
        <v>0</v>
      </c>
      <c r="AI23" s="8">
        <f t="shared" si="32"/>
        <v>0</v>
      </c>
      <c r="AJ23" s="8">
        <f t="shared" si="32"/>
        <v>0</v>
      </c>
      <c r="AK23" s="8">
        <f t="shared" si="32"/>
        <v>0</v>
      </c>
      <c r="AL23" s="8">
        <f t="shared" si="32"/>
        <v>0</v>
      </c>
      <c r="AM23" s="8">
        <f>SUM(AM16:AM22)</f>
        <v>140268194</v>
      </c>
      <c r="AN23" s="8">
        <f t="shared" ref="AN23:AO23" si="38">SUM(AN16:AN22)</f>
        <v>81025890</v>
      </c>
      <c r="AO23" s="8">
        <f t="shared" si="38"/>
        <v>59242304</v>
      </c>
      <c r="AP23" s="31">
        <f t="shared" si="20"/>
        <v>0.42235023001721972</v>
      </c>
      <c r="AQ23" s="34">
        <f t="shared" si="16"/>
        <v>-3027550137.3454332</v>
      </c>
      <c r="AR23" s="50" t="e">
        <f>AI23/AG23*100</f>
        <v>#DIV/0!</v>
      </c>
      <c r="AS23" s="35"/>
      <c r="AT23" s="2"/>
      <c r="AV23" s="20"/>
      <c r="AW23" s="20"/>
      <c r="AX23" s="20"/>
      <c r="AY23" s="20"/>
    </row>
    <row r="24" spans="1:54" x14ac:dyDescent="0.25">
      <c r="A24" s="5" t="s">
        <v>35</v>
      </c>
      <c r="B24" s="4">
        <v>45053763.229277767</v>
      </c>
      <c r="C24" s="4">
        <v>3754480.2691064808</v>
      </c>
      <c r="D24" s="4">
        <v>4199364</v>
      </c>
      <c r="E24" s="4">
        <f t="shared" si="21"/>
        <v>-444883.73089351924</v>
      </c>
      <c r="F24" s="4"/>
      <c r="G24" s="4"/>
      <c r="H24" s="4">
        <f t="shared" ref="H24:H25" si="39">+F24-G24</f>
        <v>0</v>
      </c>
      <c r="I24" s="4"/>
      <c r="J24" s="4"/>
      <c r="K24" s="4">
        <f t="shared" si="1"/>
        <v>0</v>
      </c>
      <c r="L24" s="4"/>
      <c r="M24" s="4"/>
      <c r="N24" s="4">
        <f t="shared" ref="N24:N25" si="40">+L24-M24</f>
        <v>0</v>
      </c>
      <c r="O24" s="4"/>
      <c r="P24" s="4"/>
      <c r="Q24" s="4">
        <f t="shared" ref="Q24:Q25" si="41">+O24-P24</f>
        <v>0</v>
      </c>
      <c r="R24" s="4"/>
      <c r="S24" s="4"/>
      <c r="T24" s="4">
        <f t="shared" ref="T24:T25" si="42">+R24-S24</f>
        <v>0</v>
      </c>
      <c r="U24" s="4"/>
      <c r="V24" s="4"/>
      <c r="W24" s="4">
        <f t="shared" ref="W24:W25" si="43">+U24-V24</f>
        <v>0</v>
      </c>
      <c r="X24" s="4"/>
      <c r="Y24" s="4"/>
      <c r="Z24" s="4">
        <f t="shared" ref="Z24:Z25" si="44">+X24-Y24</f>
        <v>0</v>
      </c>
      <c r="AA24" s="4"/>
      <c r="AB24" s="4"/>
      <c r="AC24" s="4">
        <f t="shared" si="6"/>
        <v>0</v>
      </c>
      <c r="AD24" s="4"/>
      <c r="AE24" s="4"/>
      <c r="AF24" s="4">
        <f t="shared" ref="AF24:AF25" si="45">+AD24-AE24</f>
        <v>0</v>
      </c>
      <c r="AG24" s="4"/>
      <c r="AH24" s="4"/>
      <c r="AI24" s="4">
        <f t="shared" si="30"/>
        <v>0</v>
      </c>
      <c r="AJ24" s="4"/>
      <c r="AK24" s="4"/>
      <c r="AL24" s="4">
        <f t="shared" si="9"/>
        <v>0</v>
      </c>
      <c r="AM24" s="4">
        <f t="shared" ref="AM24:AM25" si="46">+C24+F24+I24+L24+O24+R24+U24+X24+AA24+AD24+AG24+AJ24</f>
        <v>3754480.2691064808</v>
      </c>
      <c r="AN24" s="4">
        <f t="shared" ref="AN24:AN25" si="47">+D24+G24+J24+M24+P24+S24+V24+Y24+AB24+AE24+AH24+AK24</f>
        <v>4199364</v>
      </c>
      <c r="AO24" s="4">
        <f t="shared" ref="AO24:AO25" si="48">+AM24-AN24</f>
        <v>-444883.73089351924</v>
      </c>
      <c r="AP24" s="43">
        <f t="shared" ref="AP24:AP25" si="49">+AO24/AM24</f>
        <v>-0.1184940921262042</v>
      </c>
      <c r="AQ24" s="34">
        <f t="shared" si="16"/>
        <v>-41299282.96017129</v>
      </c>
      <c r="AR24" s="38"/>
      <c r="AS24" s="38"/>
      <c r="AT24" s="2"/>
      <c r="AV24" s="20"/>
      <c r="AW24" s="20"/>
      <c r="AX24" s="20"/>
      <c r="AY24" s="20"/>
    </row>
    <row r="25" spans="1:54" x14ac:dyDescent="0.25">
      <c r="A25" s="5" t="s">
        <v>14</v>
      </c>
      <c r="B25" s="4">
        <v>95000000</v>
      </c>
      <c r="C25" s="4">
        <v>0</v>
      </c>
      <c r="D25" s="4"/>
      <c r="E25" s="4">
        <f t="shared" si="21"/>
        <v>0</v>
      </c>
      <c r="F25" s="4"/>
      <c r="G25" s="4"/>
      <c r="H25" s="4">
        <f t="shared" si="39"/>
        <v>0</v>
      </c>
      <c r="I25" s="4"/>
      <c r="J25" s="4"/>
      <c r="K25" s="4">
        <f t="shared" si="1"/>
        <v>0</v>
      </c>
      <c r="L25" s="4"/>
      <c r="M25" s="4"/>
      <c r="N25" s="4">
        <f t="shared" si="40"/>
        <v>0</v>
      </c>
      <c r="O25" s="4"/>
      <c r="P25" s="4"/>
      <c r="Q25" s="4">
        <f t="shared" si="41"/>
        <v>0</v>
      </c>
      <c r="R25" s="4"/>
      <c r="S25" s="4"/>
      <c r="T25" s="4">
        <f t="shared" si="42"/>
        <v>0</v>
      </c>
      <c r="U25" s="4"/>
      <c r="V25" s="4"/>
      <c r="W25" s="4">
        <f t="shared" si="43"/>
        <v>0</v>
      </c>
      <c r="X25" s="4"/>
      <c r="Y25" s="4"/>
      <c r="Z25" s="4">
        <f t="shared" si="44"/>
        <v>0</v>
      </c>
      <c r="AA25" s="4"/>
      <c r="AB25" s="4"/>
      <c r="AC25" s="4">
        <f t="shared" si="6"/>
        <v>0</v>
      </c>
      <c r="AD25" s="4"/>
      <c r="AE25" s="4"/>
      <c r="AF25" s="4">
        <f t="shared" si="45"/>
        <v>0</v>
      </c>
      <c r="AG25" s="4"/>
      <c r="AH25" s="4"/>
      <c r="AI25" s="4">
        <f t="shared" si="30"/>
        <v>0</v>
      </c>
      <c r="AJ25" s="4">
        <f>+'202401anual'!N46</f>
        <v>0</v>
      </c>
      <c r="AK25" s="4"/>
      <c r="AL25" s="4">
        <f t="shared" si="9"/>
        <v>0</v>
      </c>
      <c r="AM25" s="4">
        <f t="shared" si="46"/>
        <v>0</v>
      </c>
      <c r="AN25" s="4">
        <f t="shared" si="47"/>
        <v>0</v>
      </c>
      <c r="AO25" s="4">
        <f t="shared" si="48"/>
        <v>0</v>
      </c>
      <c r="AP25" s="43" t="e">
        <f t="shared" si="49"/>
        <v>#DIV/0!</v>
      </c>
      <c r="AQ25" s="34">
        <f t="shared" si="16"/>
        <v>-95000000</v>
      </c>
      <c r="AR25" s="48"/>
      <c r="AS25" s="38"/>
      <c r="AT25" s="2"/>
      <c r="AV25" s="20"/>
      <c r="AW25" s="20"/>
      <c r="AX25" s="20"/>
      <c r="AY25" s="20"/>
    </row>
    <row r="26" spans="1:54" x14ac:dyDescent="0.25">
      <c r="A26" s="12" t="s">
        <v>15</v>
      </c>
      <c r="B26" s="8">
        <f>SUM(B24:B25)</f>
        <v>140053763.22927776</v>
      </c>
      <c r="C26" s="8">
        <f>SUM(C24:C25)</f>
        <v>3754480.2691064808</v>
      </c>
      <c r="D26" s="8">
        <f t="shared" ref="D26:AJ26" si="50">SUM(D24:D25)</f>
        <v>4199364</v>
      </c>
      <c r="E26" s="8">
        <f t="shared" si="50"/>
        <v>-444883.73089351924</v>
      </c>
      <c r="F26" s="8">
        <f t="shared" si="50"/>
        <v>0</v>
      </c>
      <c r="G26" s="8">
        <f t="shared" si="50"/>
        <v>0</v>
      </c>
      <c r="H26" s="8">
        <f t="shared" si="50"/>
        <v>0</v>
      </c>
      <c r="I26" s="8">
        <f t="shared" si="50"/>
        <v>0</v>
      </c>
      <c r="J26" s="8"/>
      <c r="K26" s="8">
        <f t="shared" ref="K26:L26" si="51">SUM(K24:K25)</f>
        <v>0</v>
      </c>
      <c r="L26" s="8">
        <f t="shared" si="51"/>
        <v>0</v>
      </c>
      <c r="M26" s="8">
        <f t="shared" ref="M26:N26" si="52">SUM(M24:M25)</f>
        <v>0</v>
      </c>
      <c r="N26" s="8">
        <f t="shared" si="52"/>
        <v>0</v>
      </c>
      <c r="O26" s="8">
        <f t="shared" si="50"/>
        <v>0</v>
      </c>
      <c r="P26" s="8">
        <f t="shared" ref="P26" si="53">SUM(P24:P25)</f>
        <v>0</v>
      </c>
      <c r="Q26" s="8">
        <f t="shared" ref="Q26" si="54">SUM(Q24:Q25)</f>
        <v>0</v>
      </c>
      <c r="R26" s="8"/>
      <c r="S26" s="8">
        <f t="shared" si="50"/>
        <v>0</v>
      </c>
      <c r="T26" s="8">
        <f t="shared" si="50"/>
        <v>0</v>
      </c>
      <c r="U26" s="8"/>
      <c r="V26" s="8">
        <f t="shared" ref="V26:W26" si="55">SUM(V24:V25)</f>
        <v>0</v>
      </c>
      <c r="W26" s="8">
        <f t="shared" si="55"/>
        <v>0</v>
      </c>
      <c r="X26" s="8"/>
      <c r="Y26" s="8">
        <f t="shared" ref="Y26:Z26" si="56">SUM(Y24:Y25)</f>
        <v>0</v>
      </c>
      <c r="Z26" s="8">
        <f t="shared" si="56"/>
        <v>0</v>
      </c>
      <c r="AA26" s="8">
        <f t="shared" si="50"/>
        <v>0</v>
      </c>
      <c r="AB26" s="8">
        <f t="shared" ref="AB26:AC26" si="57">SUM(AB24:AB25)</f>
        <v>0</v>
      </c>
      <c r="AC26" s="8">
        <f t="shared" si="57"/>
        <v>0</v>
      </c>
      <c r="AD26" s="8">
        <f t="shared" si="50"/>
        <v>0</v>
      </c>
      <c r="AE26" s="8">
        <f t="shared" ref="AE26:AF26" si="58">SUM(AE24:AE25)</f>
        <v>0</v>
      </c>
      <c r="AF26" s="8">
        <f t="shared" si="58"/>
        <v>0</v>
      </c>
      <c r="AG26" s="8">
        <f t="shared" si="50"/>
        <v>0</v>
      </c>
      <c r="AH26" s="8">
        <f t="shared" ref="AH26:AI26" si="59">SUM(AH24:AH25)</f>
        <v>0</v>
      </c>
      <c r="AI26" s="8">
        <f t="shared" si="59"/>
        <v>0</v>
      </c>
      <c r="AJ26" s="8">
        <f t="shared" si="50"/>
        <v>0</v>
      </c>
      <c r="AK26" s="8">
        <f t="shared" ref="AK26:AL26" si="60">SUM(AK24:AK25)</f>
        <v>0</v>
      </c>
      <c r="AL26" s="8">
        <f t="shared" si="60"/>
        <v>0</v>
      </c>
      <c r="AM26" s="8">
        <f t="shared" ref="AM26:AO26" si="61">SUM(AM24:AM25)</f>
        <v>3754480.2691064808</v>
      </c>
      <c r="AN26" s="8">
        <f t="shared" si="61"/>
        <v>4199364</v>
      </c>
      <c r="AO26" s="8">
        <f t="shared" si="61"/>
        <v>-444883.73089351924</v>
      </c>
      <c r="AP26" s="31">
        <f>+AO26/AM26</f>
        <v>-0.1184940921262042</v>
      </c>
      <c r="AQ26" s="34">
        <f t="shared" si="16"/>
        <v>-136299282.96017128</v>
      </c>
      <c r="AR26" s="50" t="e">
        <f>AI26/AG26*100</f>
        <v>#DIV/0!</v>
      </c>
      <c r="AS26" s="36"/>
      <c r="AT26" s="2"/>
      <c r="AV26" s="20"/>
      <c r="AW26" s="20"/>
      <c r="AX26" s="20"/>
      <c r="AY26" s="20"/>
    </row>
    <row r="27" spans="1:54" x14ac:dyDescent="0.25">
      <c r="A27" s="12" t="s">
        <v>1</v>
      </c>
      <c r="B27" s="8">
        <f>+B26+B23</f>
        <v>3307872094.5747108</v>
      </c>
      <c r="C27" s="8">
        <f>+C26+C23</f>
        <v>144022674.26910648</v>
      </c>
      <c r="D27" s="8">
        <f t="shared" ref="D27:AO27" si="62">+D26+D23</f>
        <v>85225254</v>
      </c>
      <c r="E27" s="8">
        <f t="shared" si="62"/>
        <v>58797420.269106477</v>
      </c>
      <c r="F27" s="8">
        <f t="shared" si="62"/>
        <v>0</v>
      </c>
      <c r="G27" s="8">
        <f t="shared" si="62"/>
        <v>0</v>
      </c>
      <c r="H27" s="8">
        <f t="shared" si="62"/>
        <v>0</v>
      </c>
      <c r="I27" s="8">
        <f t="shared" si="62"/>
        <v>0</v>
      </c>
      <c r="J27" s="8">
        <f t="shared" ref="J27:L27" si="63">+J26+J23</f>
        <v>0</v>
      </c>
      <c r="K27" s="8">
        <f t="shared" si="63"/>
        <v>0</v>
      </c>
      <c r="L27" s="8">
        <f t="shared" si="63"/>
        <v>0</v>
      </c>
      <c r="M27" s="8">
        <f t="shared" ref="M27:N27" si="64">+M26+M23</f>
        <v>0</v>
      </c>
      <c r="N27" s="8">
        <f t="shared" si="64"/>
        <v>0</v>
      </c>
      <c r="O27" s="8">
        <f t="shared" si="62"/>
        <v>0</v>
      </c>
      <c r="P27" s="8">
        <f t="shared" ref="P27" si="65">+P26+P23</f>
        <v>0</v>
      </c>
      <c r="Q27" s="8">
        <f t="shared" ref="Q27" si="66">+Q26+Q23</f>
        <v>0</v>
      </c>
      <c r="R27" s="8"/>
      <c r="S27" s="8">
        <f t="shared" si="62"/>
        <v>0</v>
      </c>
      <c r="T27" s="8">
        <f t="shared" si="62"/>
        <v>0</v>
      </c>
      <c r="U27" s="8">
        <f t="shared" si="62"/>
        <v>0</v>
      </c>
      <c r="V27" s="8">
        <f t="shared" si="62"/>
        <v>0</v>
      </c>
      <c r="W27" s="8">
        <f t="shared" si="62"/>
        <v>0</v>
      </c>
      <c r="X27" s="8">
        <f t="shared" ref="X27:Z27" si="67">+X26+X23</f>
        <v>0</v>
      </c>
      <c r="Y27" s="8">
        <f t="shared" si="67"/>
        <v>0</v>
      </c>
      <c r="Z27" s="8">
        <f t="shared" si="67"/>
        <v>0</v>
      </c>
      <c r="AA27" s="8">
        <f t="shared" si="62"/>
        <v>0</v>
      </c>
      <c r="AB27" s="8">
        <f t="shared" ref="AB27:AC27" si="68">+AB26+AB23</f>
        <v>0</v>
      </c>
      <c r="AC27" s="8">
        <f t="shared" si="68"/>
        <v>0</v>
      </c>
      <c r="AD27" s="8">
        <f t="shared" si="62"/>
        <v>0</v>
      </c>
      <c r="AE27" s="8">
        <f t="shared" ref="AE27:AF27" si="69">+AE26+AE23</f>
        <v>0</v>
      </c>
      <c r="AF27" s="8">
        <f t="shared" si="69"/>
        <v>0</v>
      </c>
      <c r="AG27" s="8">
        <f t="shared" si="62"/>
        <v>0</v>
      </c>
      <c r="AH27" s="8">
        <f t="shared" ref="AH27:AI27" si="70">+AH26+AH23</f>
        <v>0</v>
      </c>
      <c r="AI27" s="8">
        <f t="shared" si="70"/>
        <v>0</v>
      </c>
      <c r="AJ27" s="8">
        <f t="shared" si="62"/>
        <v>0</v>
      </c>
      <c r="AK27" s="8">
        <f t="shared" ref="AK27:AL27" si="71">+AK26+AK23</f>
        <v>0</v>
      </c>
      <c r="AL27" s="8">
        <f t="shared" si="71"/>
        <v>0</v>
      </c>
      <c r="AM27" s="8">
        <f t="shared" si="62"/>
        <v>144022674.26910648</v>
      </c>
      <c r="AN27" s="8">
        <f t="shared" si="62"/>
        <v>85225254</v>
      </c>
      <c r="AO27" s="8">
        <f t="shared" si="62"/>
        <v>58797420.269106477</v>
      </c>
      <c r="AP27" s="31">
        <f>+AO27/AM27</f>
        <v>0.40825113522918932</v>
      </c>
      <c r="AQ27" s="34">
        <f t="shared" si="16"/>
        <v>-3163849420.3056045</v>
      </c>
      <c r="AR27" s="50" t="e">
        <f>AI27/AG27*100</f>
        <v>#DIV/0!</v>
      </c>
      <c r="AS27" s="35"/>
      <c r="AT27" s="2"/>
      <c r="AU27" s="2"/>
      <c r="AV27" s="20"/>
      <c r="AW27" s="20"/>
      <c r="AX27" s="20"/>
      <c r="AY27" s="20"/>
      <c r="BB27" s="56"/>
    </row>
    <row r="28" spans="1:54" x14ac:dyDescent="0.25">
      <c r="A28" s="22" t="s">
        <v>58</v>
      </c>
      <c r="B28" s="4">
        <v>1348189693.8599594</v>
      </c>
      <c r="C28" s="4">
        <v>112349141.15499662</v>
      </c>
      <c r="D28" s="4">
        <v>98571937</v>
      </c>
      <c r="E28" s="4">
        <f t="shared" ref="E28:E96" si="72">+C28-D28</f>
        <v>13777204.154996619</v>
      </c>
      <c r="F28" s="4"/>
      <c r="G28" s="4"/>
      <c r="H28" s="4">
        <f t="shared" ref="H28:H96" si="73">+F28-G28</f>
        <v>0</v>
      </c>
      <c r="I28" s="4"/>
      <c r="J28" s="4"/>
      <c r="K28" s="4">
        <f t="shared" ref="K28:K34" si="74">+I28-J28</f>
        <v>0</v>
      </c>
      <c r="L28" s="4"/>
      <c r="M28" s="4"/>
      <c r="N28" s="4">
        <f t="shared" ref="N28:N34" si="75">+L28-M28</f>
        <v>0</v>
      </c>
      <c r="O28" s="4"/>
      <c r="P28" s="4"/>
      <c r="Q28" s="4">
        <f t="shared" ref="Q28:Q34" si="76">+O28-P28</f>
        <v>0</v>
      </c>
      <c r="R28" s="4"/>
      <c r="S28" s="4"/>
      <c r="T28" s="4">
        <f t="shared" ref="T28:T34" si="77">+R28-S28</f>
        <v>0</v>
      </c>
      <c r="U28" s="4"/>
      <c r="V28" s="4"/>
      <c r="W28" s="4">
        <f t="shared" ref="W28:W34" si="78">+U28-V28</f>
        <v>0</v>
      </c>
      <c r="X28" s="4"/>
      <c r="Y28" s="4"/>
      <c r="Z28" s="4">
        <f t="shared" ref="Z28:Z34" si="79">+X28-Y28</f>
        <v>0</v>
      </c>
      <c r="AA28" s="4"/>
      <c r="AB28" s="4"/>
      <c r="AC28" s="4">
        <f t="shared" ref="AC28:AC34" si="80">+AA28-AB28</f>
        <v>0</v>
      </c>
      <c r="AD28" s="4"/>
      <c r="AE28" s="4"/>
      <c r="AF28" s="4">
        <f t="shared" ref="AF28:AF96" si="81">+AD28-AE28</f>
        <v>0</v>
      </c>
      <c r="AG28" s="4"/>
      <c r="AH28" s="4"/>
      <c r="AI28" s="4">
        <f t="shared" ref="AI28:AI96" si="82">+AG28-AH28</f>
        <v>0</v>
      </c>
      <c r="AJ28" s="4"/>
      <c r="AK28" s="4"/>
      <c r="AL28" s="4">
        <f t="shared" ref="AL28:AL96" si="83">+AJ28-AK28</f>
        <v>0</v>
      </c>
      <c r="AM28" s="4">
        <f t="shared" ref="AM28:AM48" si="84">+C28+F28+I28+L28+O28+R28+U28+X28+AA28+AD28+AG28+AJ28</f>
        <v>112349141.15499662</v>
      </c>
      <c r="AN28" s="4">
        <f t="shared" ref="AN28:AN48" si="85">+D28+G28+J28+M28+P28+S28+V28+Y28+AB28+AE28+AH28+AK28</f>
        <v>98571937</v>
      </c>
      <c r="AO28" s="4">
        <f t="shared" ref="AO28:AO48" si="86">+AM28-AN28</f>
        <v>13777204.154996619</v>
      </c>
      <c r="AP28" s="43">
        <f>+AO28/AM28*100</f>
        <v>12.262847773789048</v>
      </c>
      <c r="AQ28" s="34">
        <f t="shared" si="16"/>
        <v>-1235840552.7049627</v>
      </c>
      <c r="AR28" s="38"/>
      <c r="AS28" s="38"/>
      <c r="AT28" s="2"/>
      <c r="AU28" s="37"/>
      <c r="AV28" s="20"/>
      <c r="AW28" s="20"/>
      <c r="AX28" s="20"/>
      <c r="AY28" s="20"/>
    </row>
    <row r="29" spans="1:54" ht="45" hidden="1" x14ac:dyDescent="0.25">
      <c r="A29" s="21" t="s">
        <v>65</v>
      </c>
      <c r="B29" s="4">
        <v>0</v>
      </c>
      <c r="C29" s="4">
        <v>0</v>
      </c>
      <c r="D29" s="4"/>
      <c r="E29" s="4"/>
      <c r="F29" s="4"/>
      <c r="G29" s="10"/>
      <c r="H29" s="4">
        <f t="shared" si="73"/>
        <v>0</v>
      </c>
      <c r="I29" s="4"/>
      <c r="J29" s="10"/>
      <c r="K29" s="4">
        <f t="shared" si="74"/>
        <v>0</v>
      </c>
      <c r="L29" s="4">
        <f>+'202401anual'!F50</f>
        <v>0</v>
      </c>
      <c r="M29" s="4"/>
      <c r="N29" s="4">
        <f t="shared" si="75"/>
        <v>0</v>
      </c>
      <c r="O29" s="4">
        <f>+'202401anual'!G50</f>
        <v>0</v>
      </c>
      <c r="P29" s="10">
        <v>0</v>
      </c>
      <c r="Q29" s="4">
        <f t="shared" si="76"/>
        <v>0</v>
      </c>
      <c r="R29" s="4"/>
      <c r="S29" s="10"/>
      <c r="T29" s="4">
        <f t="shared" si="77"/>
        <v>0</v>
      </c>
      <c r="U29" s="4"/>
      <c r="V29" s="4"/>
      <c r="W29" s="4">
        <f t="shared" si="78"/>
        <v>0</v>
      </c>
      <c r="X29" s="4"/>
      <c r="Y29" s="4"/>
      <c r="Z29" s="4">
        <f t="shared" si="79"/>
        <v>0</v>
      </c>
      <c r="AA29" s="4"/>
      <c r="AB29" s="4"/>
      <c r="AC29" s="4">
        <f t="shared" si="80"/>
        <v>0</v>
      </c>
      <c r="AD29" s="4"/>
      <c r="AE29" s="10"/>
      <c r="AF29" s="4">
        <f t="shared" si="81"/>
        <v>0</v>
      </c>
      <c r="AG29" s="4"/>
      <c r="AH29" s="10"/>
      <c r="AI29" s="4">
        <f t="shared" si="82"/>
        <v>0</v>
      </c>
      <c r="AJ29" s="4"/>
      <c r="AK29" s="10"/>
      <c r="AL29" s="4">
        <f t="shared" si="83"/>
        <v>0</v>
      </c>
      <c r="AM29" s="4">
        <f t="shared" si="84"/>
        <v>0</v>
      </c>
      <c r="AN29" s="4">
        <f t="shared" si="85"/>
        <v>0</v>
      </c>
      <c r="AO29" s="4">
        <f t="shared" si="86"/>
        <v>0</v>
      </c>
      <c r="AP29" s="43" t="e">
        <f t="shared" ref="AP29:AP48" si="87">+AO29/AM29*100</f>
        <v>#DIV/0!</v>
      </c>
      <c r="AQ29" s="34">
        <f t="shared" si="16"/>
        <v>0</v>
      </c>
      <c r="AR29" s="38"/>
      <c r="AS29" s="38"/>
      <c r="AT29" s="2"/>
      <c r="AU29" s="37"/>
      <c r="AV29" s="20"/>
      <c r="AW29" s="20"/>
    </row>
    <row r="30" spans="1:54" x14ac:dyDescent="0.25">
      <c r="A30" s="5" t="s">
        <v>16</v>
      </c>
      <c r="B30" s="4">
        <v>26027616</v>
      </c>
      <c r="C30" s="4">
        <v>26027616</v>
      </c>
      <c r="D30" s="4"/>
      <c r="E30" s="4">
        <f t="shared" si="72"/>
        <v>26027616</v>
      </c>
      <c r="F30" s="4"/>
      <c r="G30" s="4"/>
      <c r="H30" s="4">
        <f t="shared" si="73"/>
        <v>0</v>
      </c>
      <c r="I30" s="4"/>
      <c r="J30" s="4"/>
      <c r="K30" s="4">
        <f t="shared" si="74"/>
        <v>0</v>
      </c>
      <c r="L30" s="4"/>
      <c r="M30" s="4"/>
      <c r="N30" s="4">
        <f t="shared" si="75"/>
        <v>0</v>
      </c>
      <c r="O30" s="4">
        <f>+'202401anual'!G51</f>
        <v>0</v>
      </c>
      <c r="P30" s="4"/>
      <c r="Q30" s="4">
        <f t="shared" si="76"/>
        <v>0</v>
      </c>
      <c r="R30" s="4"/>
      <c r="S30" s="4"/>
      <c r="T30" s="4">
        <f t="shared" si="77"/>
        <v>0</v>
      </c>
      <c r="U30" s="4"/>
      <c r="V30" s="4"/>
      <c r="W30" s="4">
        <f t="shared" si="78"/>
        <v>0</v>
      </c>
      <c r="X30" s="4"/>
      <c r="Y30" s="4"/>
      <c r="Z30" s="4">
        <f t="shared" si="79"/>
        <v>0</v>
      </c>
      <c r="AA30" s="4"/>
      <c r="AB30" s="4"/>
      <c r="AC30" s="4">
        <f t="shared" si="80"/>
        <v>0</v>
      </c>
      <c r="AD30" s="4"/>
      <c r="AE30" s="4"/>
      <c r="AF30" s="4">
        <f t="shared" si="81"/>
        <v>0</v>
      </c>
      <c r="AG30" s="4"/>
      <c r="AH30" s="4"/>
      <c r="AI30" s="4">
        <f t="shared" si="82"/>
        <v>0</v>
      </c>
      <c r="AJ30" s="4"/>
      <c r="AK30" s="4"/>
      <c r="AL30" s="4">
        <f t="shared" si="83"/>
        <v>0</v>
      </c>
      <c r="AM30" s="4">
        <f t="shared" si="84"/>
        <v>26027616</v>
      </c>
      <c r="AN30" s="4">
        <f t="shared" si="85"/>
        <v>0</v>
      </c>
      <c r="AO30" s="4">
        <f t="shared" si="86"/>
        <v>26027616</v>
      </c>
      <c r="AP30" s="43">
        <f t="shared" si="87"/>
        <v>100</v>
      </c>
      <c r="AQ30" s="34">
        <f t="shared" si="16"/>
        <v>0</v>
      </c>
      <c r="AR30" s="38"/>
      <c r="AS30" s="38"/>
      <c r="AT30" s="2"/>
      <c r="AU30" s="2"/>
    </row>
    <row r="31" spans="1:54" x14ac:dyDescent="0.25">
      <c r="A31" s="5" t="s">
        <v>17</v>
      </c>
      <c r="B31" s="4">
        <v>727386570</v>
      </c>
      <c r="C31" s="4">
        <v>61474815</v>
      </c>
      <c r="D31" s="4"/>
      <c r="E31" s="4">
        <f t="shared" si="72"/>
        <v>61474815</v>
      </c>
      <c r="F31" s="4"/>
      <c r="G31" s="4"/>
      <c r="H31" s="4">
        <f t="shared" si="73"/>
        <v>0</v>
      </c>
      <c r="I31" s="4"/>
      <c r="J31" s="4"/>
      <c r="K31" s="4">
        <f t="shared" si="74"/>
        <v>0</v>
      </c>
      <c r="L31" s="4"/>
      <c r="M31" s="4"/>
      <c r="N31" s="4">
        <f t="shared" si="75"/>
        <v>0</v>
      </c>
      <c r="O31" s="4"/>
      <c r="P31" s="4"/>
      <c r="Q31" s="4">
        <f t="shared" si="76"/>
        <v>0</v>
      </c>
      <c r="R31" s="4"/>
      <c r="S31" s="4"/>
      <c r="T31" s="4">
        <f t="shared" si="77"/>
        <v>0</v>
      </c>
      <c r="U31" s="4"/>
      <c r="V31" s="4"/>
      <c r="W31" s="4">
        <f t="shared" si="78"/>
        <v>0</v>
      </c>
      <c r="X31" s="4"/>
      <c r="Y31" s="4"/>
      <c r="Z31" s="4">
        <f t="shared" si="79"/>
        <v>0</v>
      </c>
      <c r="AA31" s="4"/>
      <c r="AB31" s="4"/>
      <c r="AC31" s="4">
        <f t="shared" si="80"/>
        <v>0</v>
      </c>
      <c r="AD31" s="4"/>
      <c r="AE31" s="4"/>
      <c r="AF31" s="4">
        <f t="shared" si="81"/>
        <v>0</v>
      </c>
      <c r="AG31" s="4"/>
      <c r="AH31" s="4"/>
      <c r="AI31" s="4">
        <f t="shared" si="82"/>
        <v>0</v>
      </c>
      <c r="AJ31" s="4"/>
      <c r="AK31" s="4"/>
      <c r="AL31" s="4">
        <f t="shared" si="83"/>
        <v>0</v>
      </c>
      <c r="AM31" s="4">
        <f t="shared" si="84"/>
        <v>61474815</v>
      </c>
      <c r="AN31" s="4">
        <f t="shared" si="85"/>
        <v>0</v>
      </c>
      <c r="AO31" s="4">
        <f t="shared" si="86"/>
        <v>61474815</v>
      </c>
      <c r="AP31" s="43">
        <f t="shared" si="87"/>
        <v>100</v>
      </c>
      <c r="AQ31" s="34">
        <f t="shared" si="16"/>
        <v>-665911755</v>
      </c>
      <c r="AR31" s="38"/>
      <c r="AS31" s="38"/>
      <c r="AT31" s="2"/>
      <c r="AU31" s="2"/>
    </row>
    <row r="32" spans="1:54" x14ac:dyDescent="0.25">
      <c r="A32" s="5" t="s">
        <v>7</v>
      </c>
      <c r="B32" s="4">
        <v>517785306.57200003</v>
      </c>
      <c r="C32" s="4">
        <v>39598775.880999997</v>
      </c>
      <c r="D32" s="4"/>
      <c r="E32" s="4">
        <f t="shared" si="72"/>
        <v>39598775.880999997</v>
      </c>
      <c r="F32" s="4"/>
      <c r="G32" s="4"/>
      <c r="H32" s="4">
        <f t="shared" si="73"/>
        <v>0</v>
      </c>
      <c r="I32" s="4"/>
      <c r="J32" s="4"/>
      <c r="K32" s="4">
        <f t="shared" si="74"/>
        <v>0</v>
      </c>
      <c r="L32" s="4"/>
      <c r="M32" s="4"/>
      <c r="N32" s="4">
        <f t="shared" si="75"/>
        <v>0</v>
      </c>
      <c r="O32" s="4"/>
      <c r="P32" s="4"/>
      <c r="Q32" s="4">
        <f t="shared" si="76"/>
        <v>0</v>
      </c>
      <c r="R32" s="4"/>
      <c r="S32" s="4"/>
      <c r="T32" s="4">
        <f t="shared" si="77"/>
        <v>0</v>
      </c>
      <c r="U32" s="4"/>
      <c r="V32" s="4"/>
      <c r="W32" s="4">
        <f t="shared" si="78"/>
        <v>0</v>
      </c>
      <c r="X32" s="4"/>
      <c r="Y32" s="4"/>
      <c r="Z32" s="4">
        <f t="shared" si="79"/>
        <v>0</v>
      </c>
      <c r="AA32" s="4"/>
      <c r="AB32" s="4"/>
      <c r="AC32" s="4">
        <f t="shared" si="80"/>
        <v>0</v>
      </c>
      <c r="AD32" s="4"/>
      <c r="AE32" s="4"/>
      <c r="AF32" s="4">
        <f t="shared" si="81"/>
        <v>0</v>
      </c>
      <c r="AG32" s="4"/>
      <c r="AH32" s="4"/>
      <c r="AI32" s="4">
        <f t="shared" si="82"/>
        <v>0</v>
      </c>
      <c r="AJ32" s="4"/>
      <c r="AK32" s="4"/>
      <c r="AL32" s="4">
        <f t="shared" si="83"/>
        <v>0</v>
      </c>
      <c r="AM32" s="4">
        <f t="shared" si="84"/>
        <v>39598775.880999997</v>
      </c>
      <c r="AN32" s="4">
        <f t="shared" si="85"/>
        <v>0</v>
      </c>
      <c r="AO32" s="4">
        <f t="shared" si="86"/>
        <v>39598775.880999997</v>
      </c>
      <c r="AP32" s="43">
        <f t="shared" si="87"/>
        <v>100</v>
      </c>
      <c r="AQ32" s="34">
        <f t="shared" si="16"/>
        <v>-478186530.69100004</v>
      </c>
      <c r="AR32" s="38"/>
      <c r="AS32" s="38"/>
      <c r="AT32" s="2"/>
      <c r="AU32" s="2"/>
    </row>
    <row r="33" spans="1:54" x14ac:dyDescent="0.25">
      <c r="A33" s="5" t="s">
        <v>57</v>
      </c>
      <c r="B33" s="4">
        <v>100020000</v>
      </c>
      <c r="C33" s="4">
        <v>615000</v>
      </c>
      <c r="D33" s="4">
        <v>2167423</v>
      </c>
      <c r="E33" s="4">
        <f t="shared" si="72"/>
        <v>-1552423</v>
      </c>
      <c r="F33" s="4"/>
      <c r="G33" s="4"/>
      <c r="H33" s="4">
        <f t="shared" si="73"/>
        <v>0</v>
      </c>
      <c r="I33" s="4"/>
      <c r="J33" s="4"/>
      <c r="K33" s="4">
        <f t="shared" si="74"/>
        <v>0</v>
      </c>
      <c r="L33" s="4"/>
      <c r="M33" s="4"/>
      <c r="N33" s="4">
        <f t="shared" si="75"/>
        <v>0</v>
      </c>
      <c r="O33" s="4"/>
      <c r="P33" s="4"/>
      <c r="Q33" s="4">
        <f t="shared" si="76"/>
        <v>0</v>
      </c>
      <c r="R33" s="4"/>
      <c r="S33" s="4"/>
      <c r="T33" s="4">
        <f t="shared" si="77"/>
        <v>0</v>
      </c>
      <c r="U33" s="4"/>
      <c r="V33" s="4"/>
      <c r="W33" s="4">
        <f t="shared" si="78"/>
        <v>0</v>
      </c>
      <c r="X33" s="4"/>
      <c r="Y33" s="4"/>
      <c r="Z33" s="4">
        <f t="shared" si="79"/>
        <v>0</v>
      </c>
      <c r="AA33" s="4"/>
      <c r="AB33" s="4"/>
      <c r="AC33" s="4">
        <f t="shared" si="80"/>
        <v>0</v>
      </c>
      <c r="AD33" s="4"/>
      <c r="AE33" s="4"/>
      <c r="AF33" s="4">
        <f t="shared" si="81"/>
        <v>0</v>
      </c>
      <c r="AG33" s="4"/>
      <c r="AH33" s="4"/>
      <c r="AI33" s="4">
        <f t="shared" si="82"/>
        <v>0</v>
      </c>
      <c r="AJ33" s="4"/>
      <c r="AK33" s="4"/>
      <c r="AL33" s="4">
        <f t="shared" si="83"/>
        <v>0</v>
      </c>
      <c r="AM33" s="4">
        <f t="shared" si="84"/>
        <v>615000</v>
      </c>
      <c r="AN33" s="4">
        <f t="shared" si="85"/>
        <v>2167423</v>
      </c>
      <c r="AO33" s="4">
        <f t="shared" si="86"/>
        <v>-1552423</v>
      </c>
      <c r="AP33" s="43">
        <f>+AO33/AM33*100</f>
        <v>-252.42650406504063</v>
      </c>
      <c r="AQ33" s="34">
        <f t="shared" si="16"/>
        <v>-99405000</v>
      </c>
      <c r="AR33" s="38"/>
      <c r="AS33" s="38"/>
      <c r="AT33" s="2"/>
      <c r="AU33" s="2"/>
    </row>
    <row r="34" spans="1:54" hidden="1" x14ac:dyDescent="0.25">
      <c r="A34" s="5" t="s">
        <v>66</v>
      </c>
      <c r="B34" s="4">
        <v>0</v>
      </c>
      <c r="C34" s="4">
        <v>0</v>
      </c>
      <c r="D34" s="4"/>
      <c r="E34" s="4"/>
      <c r="F34" s="4"/>
      <c r="G34" s="4"/>
      <c r="H34" s="4"/>
      <c r="I34" s="4"/>
      <c r="J34" s="4"/>
      <c r="K34" s="4">
        <f t="shared" si="74"/>
        <v>0</v>
      </c>
      <c r="L34" s="4">
        <f>+'202401anual'!F79</f>
        <v>0</v>
      </c>
      <c r="M34" s="4">
        <v>0</v>
      </c>
      <c r="N34" s="4">
        <f t="shared" si="75"/>
        <v>0</v>
      </c>
      <c r="O34" s="4">
        <f>+'202401anual'!G79</f>
        <v>0</v>
      </c>
      <c r="P34" s="4">
        <v>0</v>
      </c>
      <c r="Q34" s="4">
        <f t="shared" si="76"/>
        <v>0</v>
      </c>
      <c r="R34" s="4">
        <f>+'202401anual'!H79</f>
        <v>0</v>
      </c>
      <c r="S34" s="4">
        <v>0</v>
      </c>
      <c r="T34" s="4">
        <f t="shared" si="77"/>
        <v>0</v>
      </c>
      <c r="U34" s="4">
        <f>+'202401anual'!I79</f>
        <v>0</v>
      </c>
      <c r="V34" s="4">
        <v>0</v>
      </c>
      <c r="W34" s="4">
        <f t="shared" si="78"/>
        <v>0</v>
      </c>
      <c r="X34" s="4">
        <f>+'202401anual'!J79</f>
        <v>0</v>
      </c>
      <c r="Y34" s="4">
        <v>0</v>
      </c>
      <c r="Z34" s="4">
        <f t="shared" si="79"/>
        <v>0</v>
      </c>
      <c r="AA34" s="4">
        <f>+'202401anual'!K79</f>
        <v>0</v>
      </c>
      <c r="AB34" s="4"/>
      <c r="AC34" s="4">
        <f t="shared" si="80"/>
        <v>0</v>
      </c>
      <c r="AD34" s="4"/>
      <c r="AE34" s="4"/>
      <c r="AF34" s="4">
        <f t="shared" si="81"/>
        <v>0</v>
      </c>
      <c r="AG34" s="4"/>
      <c r="AH34" s="4"/>
      <c r="AI34" s="4">
        <f t="shared" si="82"/>
        <v>0</v>
      </c>
      <c r="AJ34" s="4">
        <f>+'202401anual'!N79</f>
        <v>0</v>
      </c>
      <c r="AK34" s="4"/>
      <c r="AL34" s="4">
        <f t="shared" si="83"/>
        <v>0</v>
      </c>
      <c r="AM34" s="4">
        <f t="shared" si="84"/>
        <v>0</v>
      </c>
      <c r="AN34" s="4">
        <f t="shared" si="85"/>
        <v>0</v>
      </c>
      <c r="AO34" s="4">
        <f t="shared" si="86"/>
        <v>0</v>
      </c>
      <c r="AP34" s="43" t="e">
        <f t="shared" si="87"/>
        <v>#DIV/0!</v>
      </c>
      <c r="AQ34" s="34">
        <f t="shared" si="16"/>
        <v>0</v>
      </c>
      <c r="AR34" s="38"/>
      <c r="AS34" s="38"/>
      <c r="AT34" s="2"/>
      <c r="AU34" s="2"/>
    </row>
    <row r="35" spans="1:54" x14ac:dyDescent="0.25">
      <c r="A35" s="12" t="s">
        <v>52</v>
      </c>
      <c r="B35" s="8">
        <f t="shared" ref="B35:AO35" si="88">SUM(B28:B34)</f>
        <v>2719409186.4319592</v>
      </c>
      <c r="C35" s="8">
        <f t="shared" si="88"/>
        <v>240065348.03599662</v>
      </c>
      <c r="D35" s="8">
        <f t="shared" si="88"/>
        <v>100739360</v>
      </c>
      <c r="E35" s="8">
        <f t="shared" si="88"/>
        <v>139325988.03599662</v>
      </c>
      <c r="F35" s="8">
        <f t="shared" si="88"/>
        <v>0</v>
      </c>
      <c r="G35" s="8">
        <f t="shared" si="88"/>
        <v>0</v>
      </c>
      <c r="H35" s="8">
        <f t="shared" si="88"/>
        <v>0</v>
      </c>
      <c r="I35" s="8">
        <f t="shared" si="88"/>
        <v>0</v>
      </c>
      <c r="J35" s="8">
        <f t="shared" si="88"/>
        <v>0</v>
      </c>
      <c r="K35" s="8">
        <f t="shared" si="88"/>
        <v>0</v>
      </c>
      <c r="L35" s="8">
        <f t="shared" si="88"/>
        <v>0</v>
      </c>
      <c r="M35" s="8">
        <f t="shared" si="88"/>
        <v>0</v>
      </c>
      <c r="N35" s="8">
        <f t="shared" si="88"/>
        <v>0</v>
      </c>
      <c r="O35" s="8">
        <f t="shared" si="88"/>
        <v>0</v>
      </c>
      <c r="P35" s="8">
        <f t="shared" si="88"/>
        <v>0</v>
      </c>
      <c r="Q35" s="8">
        <f t="shared" si="88"/>
        <v>0</v>
      </c>
      <c r="R35" s="8">
        <f t="shared" si="88"/>
        <v>0</v>
      </c>
      <c r="S35" s="8">
        <f t="shared" si="88"/>
        <v>0</v>
      </c>
      <c r="T35" s="8">
        <f t="shared" si="88"/>
        <v>0</v>
      </c>
      <c r="U35" s="8">
        <f t="shared" si="88"/>
        <v>0</v>
      </c>
      <c r="V35" s="8">
        <f t="shared" si="88"/>
        <v>0</v>
      </c>
      <c r="W35" s="8">
        <f t="shared" si="88"/>
        <v>0</v>
      </c>
      <c r="X35" s="8">
        <f t="shared" si="88"/>
        <v>0</v>
      </c>
      <c r="Y35" s="8">
        <f t="shared" si="88"/>
        <v>0</v>
      </c>
      <c r="Z35" s="8">
        <f t="shared" si="88"/>
        <v>0</v>
      </c>
      <c r="AA35" s="8">
        <f t="shared" si="88"/>
        <v>0</v>
      </c>
      <c r="AB35" s="8">
        <f t="shared" si="88"/>
        <v>0</v>
      </c>
      <c r="AC35" s="8">
        <f t="shared" si="88"/>
        <v>0</v>
      </c>
      <c r="AD35" s="8">
        <f t="shared" si="88"/>
        <v>0</v>
      </c>
      <c r="AE35" s="8">
        <f t="shared" si="88"/>
        <v>0</v>
      </c>
      <c r="AF35" s="8">
        <f t="shared" si="88"/>
        <v>0</v>
      </c>
      <c r="AG35" s="8">
        <f t="shared" si="88"/>
        <v>0</v>
      </c>
      <c r="AH35" s="8">
        <f t="shared" si="88"/>
        <v>0</v>
      </c>
      <c r="AI35" s="8">
        <f t="shared" si="88"/>
        <v>0</v>
      </c>
      <c r="AJ35" s="8">
        <f t="shared" si="88"/>
        <v>0</v>
      </c>
      <c r="AK35" s="8">
        <f t="shared" si="88"/>
        <v>0</v>
      </c>
      <c r="AL35" s="8">
        <f t="shared" si="88"/>
        <v>0</v>
      </c>
      <c r="AM35" s="8">
        <f t="shared" si="88"/>
        <v>240065348.03599662</v>
      </c>
      <c r="AN35" s="8">
        <f t="shared" si="88"/>
        <v>100739360</v>
      </c>
      <c r="AO35" s="8">
        <f t="shared" si="88"/>
        <v>139325988.03599662</v>
      </c>
      <c r="AP35" s="31">
        <f>+AO35/AM35</f>
        <v>0.58036692582181981</v>
      </c>
      <c r="AQ35" s="34">
        <f t="shared" si="16"/>
        <v>-2479343838.3959627</v>
      </c>
      <c r="AR35" s="50" t="e">
        <f>AI35/AG35*100</f>
        <v>#DIV/0!</v>
      </c>
      <c r="AS35" s="45"/>
      <c r="AT35" s="2"/>
      <c r="BB35" s="24"/>
    </row>
    <row r="36" spans="1:54" x14ac:dyDescent="0.25">
      <c r="A36" s="21" t="s">
        <v>55</v>
      </c>
      <c r="B36" s="4">
        <v>260086854.6773397</v>
      </c>
      <c r="C36" s="4">
        <v>21673904.556444976</v>
      </c>
      <c r="D36" s="4">
        <v>18308881.292999998</v>
      </c>
      <c r="E36" s="4">
        <f t="shared" si="72"/>
        <v>3365023.2634449787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4">
        <f t="shared" si="84"/>
        <v>21673904.556444976</v>
      </c>
      <c r="AN36" s="4">
        <f t="shared" si="85"/>
        <v>18308881.292999998</v>
      </c>
      <c r="AO36" s="4">
        <f t="shared" si="86"/>
        <v>3365023.2634449787</v>
      </c>
      <c r="AP36" s="43">
        <f t="shared" si="87"/>
        <v>15.525690143561842</v>
      </c>
      <c r="AQ36" s="34"/>
      <c r="AR36" s="50"/>
      <c r="AS36" s="45"/>
      <c r="AT36" s="2"/>
      <c r="BB36" s="24"/>
    </row>
    <row r="37" spans="1:54" x14ac:dyDescent="0.25">
      <c r="A37" s="21" t="str">
        <f>+'202401anual'!A86</f>
        <v xml:space="preserve">Licenciamiento software </v>
      </c>
      <c r="B37" s="4">
        <v>45000000</v>
      </c>
      <c r="C37" s="4">
        <v>0</v>
      </c>
      <c r="D37" s="49"/>
      <c r="E37" s="4">
        <f t="shared" si="72"/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4"/>
        <v>0</v>
      </c>
      <c r="AN37" s="4">
        <f t="shared" si="85"/>
        <v>0</v>
      </c>
      <c r="AO37" s="4">
        <f t="shared" si="86"/>
        <v>0</v>
      </c>
      <c r="AP37" s="43" t="e">
        <f t="shared" si="87"/>
        <v>#DIV/0!</v>
      </c>
      <c r="AQ37" s="34"/>
      <c r="AR37" s="50"/>
      <c r="AS37" s="45"/>
      <c r="AT37" s="2"/>
      <c r="BB37" s="24"/>
    </row>
    <row r="38" spans="1:54" x14ac:dyDescent="0.25">
      <c r="A38" s="21" t="str">
        <f>+'202401anual'!A85</f>
        <v>Servicios software INTEGRIN</v>
      </c>
      <c r="B38" s="4">
        <v>10800000</v>
      </c>
      <c r="C38" s="4">
        <v>900000</v>
      </c>
      <c r="D38" s="49"/>
      <c r="E38" s="4">
        <f t="shared" si="72"/>
        <v>900000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4"/>
        <v>900000</v>
      </c>
      <c r="AN38" s="4">
        <f t="shared" si="85"/>
        <v>0</v>
      </c>
      <c r="AO38" s="4">
        <f t="shared" si="86"/>
        <v>900000</v>
      </c>
      <c r="AP38" s="43">
        <f t="shared" si="87"/>
        <v>100</v>
      </c>
      <c r="AQ38" s="34"/>
      <c r="AR38" s="50"/>
      <c r="AS38" s="45"/>
      <c r="AT38" s="2"/>
      <c r="BB38" s="24"/>
    </row>
    <row r="39" spans="1:54" x14ac:dyDescent="0.25">
      <c r="A39" s="21" t="str">
        <f>+'202401anual'!A93</f>
        <v>Dotación de papelería y facturación</v>
      </c>
      <c r="B39" s="4">
        <v>31500000</v>
      </c>
      <c r="C39" s="4">
        <v>0</v>
      </c>
      <c r="D39" s="49"/>
      <c r="E39" s="4">
        <f t="shared" si="72"/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4"/>
        <v>0</v>
      </c>
      <c r="AN39" s="4">
        <f t="shared" si="85"/>
        <v>0</v>
      </c>
      <c r="AO39" s="4">
        <f t="shared" si="86"/>
        <v>0</v>
      </c>
      <c r="AP39" s="43" t="e">
        <f t="shared" si="87"/>
        <v>#DIV/0!</v>
      </c>
      <c r="AQ39" s="34"/>
      <c r="AR39" s="50"/>
      <c r="AS39" s="45"/>
      <c r="AT39" s="2"/>
      <c r="BB39" s="24"/>
    </row>
    <row r="40" spans="1:54" x14ac:dyDescent="0.25">
      <c r="A40" s="21" t="str">
        <f>+'202401anual'!A87</f>
        <v>Pagina WEB-Dominio actualizacion software</v>
      </c>
      <c r="B40" s="4">
        <v>369000</v>
      </c>
      <c r="C40" s="4">
        <v>0</v>
      </c>
      <c r="D40" s="49"/>
      <c r="E40" s="4">
        <f t="shared" si="72"/>
        <v>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4"/>
        <v>0</v>
      </c>
      <c r="AN40" s="4">
        <f t="shared" si="85"/>
        <v>0</v>
      </c>
      <c r="AO40" s="4">
        <f t="shared" si="86"/>
        <v>0</v>
      </c>
      <c r="AP40" s="43" t="e">
        <f t="shared" si="87"/>
        <v>#DIV/0!</v>
      </c>
      <c r="AQ40" s="34"/>
      <c r="AR40" s="50"/>
      <c r="AS40" s="45"/>
      <c r="AT40" s="2"/>
      <c r="BB40" s="24"/>
    </row>
    <row r="41" spans="1:54" x14ac:dyDescent="0.25">
      <c r="A41" s="21" t="str">
        <f>+'202401anual'!A99</f>
        <v>Servicios personales de asesoría regulatoria, estudio de costos y tarifas</v>
      </c>
      <c r="B41" s="4">
        <v>7000000</v>
      </c>
      <c r="C41" s="4">
        <v>0</v>
      </c>
      <c r="D41" s="49"/>
      <c r="E41" s="4">
        <f t="shared" si="72"/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4"/>
        <v>0</v>
      </c>
      <c r="AN41" s="4">
        <f t="shared" si="85"/>
        <v>0</v>
      </c>
      <c r="AO41" s="4">
        <f t="shared" si="86"/>
        <v>0</v>
      </c>
      <c r="AP41" s="43" t="e">
        <f t="shared" si="87"/>
        <v>#DIV/0!</v>
      </c>
      <c r="AQ41" s="34"/>
      <c r="AR41" s="50"/>
      <c r="AS41" s="45"/>
      <c r="AT41" s="2"/>
      <c r="BB41" s="24"/>
    </row>
    <row r="42" spans="1:54" x14ac:dyDescent="0.25">
      <c r="A42" s="21" t="str">
        <f>+'202401anual'!A101</f>
        <v>Otras compras y servicios</v>
      </c>
      <c r="B42" s="4">
        <v>30000000</v>
      </c>
      <c r="C42" s="4">
        <v>0</v>
      </c>
      <c r="D42" s="49"/>
      <c r="E42" s="4">
        <f t="shared" si="72"/>
        <v>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4"/>
        <v>0</v>
      </c>
      <c r="AN42" s="4">
        <f t="shared" si="85"/>
        <v>0</v>
      </c>
      <c r="AO42" s="4">
        <f t="shared" si="86"/>
        <v>0</v>
      </c>
      <c r="AP42" s="43" t="e">
        <f t="shared" si="87"/>
        <v>#DIV/0!</v>
      </c>
      <c r="AQ42" s="34"/>
      <c r="AR42" s="50"/>
      <c r="AS42" s="45"/>
      <c r="AT42" s="2"/>
      <c r="BB42" s="24"/>
    </row>
    <row r="43" spans="1:54" x14ac:dyDescent="0.25">
      <c r="A43" s="21" t="str">
        <f>+'202401anual'!A104</f>
        <v>Plan de medios</v>
      </c>
      <c r="B43" s="4">
        <v>98500718</v>
      </c>
      <c r="C43" s="4">
        <v>8208393.166666667</v>
      </c>
      <c r="D43" s="4">
        <v>1539900</v>
      </c>
      <c r="E43" s="4">
        <f t="shared" si="72"/>
        <v>6668493.166666667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4"/>
        <v>8208393.166666667</v>
      </c>
      <c r="AN43" s="4">
        <f t="shared" si="85"/>
        <v>1539900</v>
      </c>
      <c r="AO43" s="4">
        <f t="shared" si="86"/>
        <v>6668493.166666667</v>
      </c>
      <c r="AP43" s="43">
        <f t="shared" si="87"/>
        <v>81.239933702818291</v>
      </c>
      <c r="AQ43" s="34"/>
      <c r="AR43" s="50"/>
      <c r="AS43" s="45"/>
      <c r="AT43" s="2"/>
      <c r="BB43" s="24"/>
    </row>
    <row r="44" spans="1:54" x14ac:dyDescent="0.25">
      <c r="A44" s="21" t="str">
        <f>+'202401anual'!A114</f>
        <v>Recaudos</v>
      </c>
      <c r="B44" s="4">
        <v>18000000</v>
      </c>
      <c r="C44" s="4">
        <v>1500000</v>
      </c>
      <c r="D44" s="49"/>
      <c r="E44" s="4">
        <f t="shared" si="72"/>
        <v>1500000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4"/>
        <v>1500000</v>
      </c>
      <c r="AN44" s="4">
        <f t="shared" si="85"/>
        <v>0</v>
      </c>
      <c r="AO44" s="4">
        <f t="shared" si="86"/>
        <v>1500000</v>
      </c>
      <c r="AP44" s="43">
        <f t="shared" si="87"/>
        <v>100</v>
      </c>
      <c r="AQ44" s="34"/>
      <c r="AR44" s="50"/>
      <c r="AS44" s="45"/>
      <c r="AT44" s="2"/>
      <c r="BB44" s="24"/>
    </row>
    <row r="45" spans="1:54" x14ac:dyDescent="0.25">
      <c r="A45" s="21" t="str">
        <f>+'202401anual'!A120</f>
        <v xml:space="preserve">Alquiler de mulas y vehículos de transporte </v>
      </c>
      <c r="B45" s="4">
        <v>72000000</v>
      </c>
      <c r="C45" s="4">
        <v>6000000</v>
      </c>
      <c r="D45" s="4">
        <v>11940000</v>
      </c>
      <c r="E45" s="4">
        <f t="shared" si="72"/>
        <v>-5940000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4"/>
        <v>6000000</v>
      </c>
      <c r="AN45" s="4">
        <f t="shared" si="85"/>
        <v>11940000</v>
      </c>
      <c r="AO45" s="4">
        <f t="shared" si="86"/>
        <v>-5940000</v>
      </c>
      <c r="AP45" s="43">
        <f t="shared" si="87"/>
        <v>-99</v>
      </c>
      <c r="AQ45" s="34"/>
      <c r="AR45" s="50"/>
      <c r="AS45" s="45"/>
      <c r="AT45" s="2"/>
      <c r="BB45" s="24"/>
    </row>
    <row r="46" spans="1:54" x14ac:dyDescent="0.25">
      <c r="A46" s="21" t="str">
        <f>+'202401anual'!A132</f>
        <v>Asesoria y argue sui</v>
      </c>
      <c r="B46" s="4">
        <v>16000000</v>
      </c>
      <c r="C46" s="4">
        <v>0</v>
      </c>
      <c r="D46" s="49"/>
      <c r="E46" s="4">
        <f t="shared" si="72"/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4"/>
        <v>0</v>
      </c>
      <c r="AN46" s="4">
        <f t="shared" si="85"/>
        <v>0</v>
      </c>
      <c r="AO46" s="4">
        <f t="shared" si="86"/>
        <v>0</v>
      </c>
      <c r="AP46" s="43" t="e">
        <f t="shared" si="87"/>
        <v>#DIV/0!</v>
      </c>
      <c r="AQ46" s="34"/>
      <c r="AR46" s="50"/>
      <c r="AS46" s="45"/>
      <c r="AT46" s="2"/>
      <c r="BB46" s="24"/>
    </row>
    <row r="47" spans="1:54" x14ac:dyDescent="0.25">
      <c r="A47" s="21" t="str">
        <f>+'202401anual'!A118</f>
        <v>Transporte Agua potable</v>
      </c>
      <c r="B47" s="4">
        <v>191160000</v>
      </c>
      <c r="C47" s="4">
        <v>15930000</v>
      </c>
      <c r="D47" s="49"/>
      <c r="E47" s="4">
        <f t="shared" si="72"/>
        <v>15930000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4"/>
        <v>15930000</v>
      </c>
      <c r="AN47" s="4">
        <f t="shared" si="85"/>
        <v>0</v>
      </c>
      <c r="AO47" s="4">
        <f t="shared" si="86"/>
        <v>15930000</v>
      </c>
      <c r="AP47" s="43">
        <f t="shared" si="87"/>
        <v>100</v>
      </c>
      <c r="AQ47" s="34"/>
      <c r="AR47" s="50"/>
      <c r="AS47" s="45"/>
      <c r="AT47" s="2"/>
      <c r="BB47" s="24"/>
    </row>
    <row r="48" spans="1:54" x14ac:dyDescent="0.25">
      <c r="A48" s="21" t="str">
        <f>+'202401anual'!A135</f>
        <v>Camp-de sensi-y concient PUEAA (inc-materiales)</v>
      </c>
      <c r="B48" s="4">
        <v>42000000</v>
      </c>
      <c r="C48" s="4">
        <v>3500000</v>
      </c>
      <c r="D48" s="49"/>
      <c r="E48" s="4">
        <f t="shared" si="72"/>
        <v>3500000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4"/>
        <v>3500000</v>
      </c>
      <c r="AN48" s="4">
        <f t="shared" si="85"/>
        <v>0</v>
      </c>
      <c r="AO48" s="4">
        <f t="shared" si="86"/>
        <v>3500000</v>
      </c>
      <c r="AP48" s="43">
        <f t="shared" si="87"/>
        <v>100</v>
      </c>
      <c r="AQ48" s="34"/>
      <c r="AR48" s="50"/>
      <c r="AS48" s="45"/>
      <c r="AT48" s="2"/>
      <c r="BB48" s="24"/>
    </row>
    <row r="49" spans="1:54" x14ac:dyDescent="0.25">
      <c r="A49" s="12" t="s">
        <v>186</v>
      </c>
      <c r="B49" s="8">
        <f>SUM(B36:B48)</f>
        <v>822416572.67733967</v>
      </c>
      <c r="C49" s="8">
        <f>SUM(C36:C48)</f>
        <v>57712297.723111644</v>
      </c>
      <c r="D49" s="8">
        <f t="shared" ref="D49:AP49" si="89">SUM(D36:D48)</f>
        <v>31788781.292999998</v>
      </c>
      <c r="E49" s="8">
        <f t="shared" si="89"/>
        <v>25923516.430111647</v>
      </c>
      <c r="F49" s="8">
        <f t="shared" si="89"/>
        <v>0</v>
      </c>
      <c r="G49" s="8">
        <f t="shared" si="89"/>
        <v>0</v>
      </c>
      <c r="H49" s="8">
        <f t="shared" si="89"/>
        <v>0</v>
      </c>
      <c r="I49" s="8">
        <f t="shared" si="89"/>
        <v>0</v>
      </c>
      <c r="J49" s="8">
        <f t="shared" si="89"/>
        <v>0</v>
      </c>
      <c r="K49" s="8">
        <f t="shared" si="89"/>
        <v>0</v>
      </c>
      <c r="L49" s="8">
        <f t="shared" si="89"/>
        <v>0</v>
      </c>
      <c r="M49" s="8">
        <f t="shared" si="89"/>
        <v>0</v>
      </c>
      <c r="N49" s="8">
        <f t="shared" si="89"/>
        <v>0</v>
      </c>
      <c r="O49" s="8">
        <f t="shared" si="89"/>
        <v>0</v>
      </c>
      <c r="P49" s="8">
        <f t="shared" si="89"/>
        <v>0</v>
      </c>
      <c r="Q49" s="8">
        <f t="shared" si="89"/>
        <v>0</v>
      </c>
      <c r="R49" s="8">
        <f t="shared" si="89"/>
        <v>0</v>
      </c>
      <c r="S49" s="8">
        <f t="shared" si="89"/>
        <v>0</v>
      </c>
      <c r="T49" s="8">
        <f t="shared" si="89"/>
        <v>0</v>
      </c>
      <c r="U49" s="8">
        <f t="shared" si="89"/>
        <v>0</v>
      </c>
      <c r="V49" s="8">
        <f t="shared" si="89"/>
        <v>0</v>
      </c>
      <c r="W49" s="8">
        <f t="shared" si="89"/>
        <v>0</v>
      </c>
      <c r="X49" s="8">
        <f t="shared" si="89"/>
        <v>0</v>
      </c>
      <c r="Y49" s="8">
        <f t="shared" si="89"/>
        <v>0</v>
      </c>
      <c r="Z49" s="8">
        <f t="shared" si="89"/>
        <v>0</v>
      </c>
      <c r="AA49" s="8">
        <f t="shared" si="89"/>
        <v>0</v>
      </c>
      <c r="AB49" s="8">
        <f t="shared" si="89"/>
        <v>0</v>
      </c>
      <c r="AC49" s="8">
        <f t="shared" si="89"/>
        <v>0</v>
      </c>
      <c r="AD49" s="8">
        <f t="shared" si="89"/>
        <v>0</v>
      </c>
      <c r="AE49" s="8">
        <f t="shared" si="89"/>
        <v>0</v>
      </c>
      <c r="AF49" s="8">
        <f t="shared" si="89"/>
        <v>0</v>
      </c>
      <c r="AG49" s="8">
        <f t="shared" si="89"/>
        <v>0</v>
      </c>
      <c r="AH49" s="8">
        <f t="shared" si="89"/>
        <v>0</v>
      </c>
      <c r="AI49" s="8">
        <f t="shared" si="89"/>
        <v>0</v>
      </c>
      <c r="AJ49" s="8">
        <f t="shared" si="89"/>
        <v>0</v>
      </c>
      <c r="AK49" s="8">
        <f t="shared" si="89"/>
        <v>0</v>
      </c>
      <c r="AL49" s="8">
        <f t="shared" si="89"/>
        <v>0</v>
      </c>
      <c r="AM49" s="8">
        <f t="shared" si="89"/>
        <v>57712297.723111644</v>
      </c>
      <c r="AN49" s="8">
        <f t="shared" si="89"/>
        <v>31788781.292999998</v>
      </c>
      <c r="AO49" s="8">
        <f t="shared" si="89"/>
        <v>25923516.430111647</v>
      </c>
      <c r="AP49" s="8" t="e">
        <f t="shared" si="89"/>
        <v>#DIV/0!</v>
      </c>
      <c r="AQ49" s="34"/>
      <c r="AR49" s="50"/>
      <c r="AS49" s="45"/>
      <c r="AT49" s="2"/>
      <c r="BB49" s="24"/>
    </row>
    <row r="50" spans="1:54" hidden="1" x14ac:dyDescent="0.25">
      <c r="A50" s="21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8"/>
      <c r="AQ50" s="34"/>
      <c r="AR50" s="50"/>
      <c r="AS50" s="45"/>
      <c r="AT50" s="2"/>
      <c r="BA50" s="81"/>
      <c r="BB50" s="24"/>
    </row>
    <row r="51" spans="1:54" x14ac:dyDescent="0.25">
      <c r="A51" s="21" t="s">
        <v>54</v>
      </c>
      <c r="B51" s="4">
        <v>321558151.11005127</v>
      </c>
      <c r="C51" s="4">
        <v>26796512.592504274</v>
      </c>
      <c r="D51" s="4">
        <v>24171121.707000002</v>
      </c>
      <c r="E51" s="4">
        <f t="shared" si="72"/>
        <v>2625390.8855042718</v>
      </c>
      <c r="F51" s="4"/>
      <c r="G51" s="4"/>
      <c r="H51" s="4">
        <f t="shared" si="73"/>
        <v>0</v>
      </c>
      <c r="I51" s="4"/>
      <c r="J51" s="4"/>
      <c r="K51" s="4">
        <f t="shared" ref="K51:K96" si="90">+I51-J51</f>
        <v>0</v>
      </c>
      <c r="L51" s="4"/>
      <c r="M51" s="4"/>
      <c r="N51" s="4">
        <f t="shared" ref="N51:N96" si="91">+L51-M51</f>
        <v>0</v>
      </c>
      <c r="O51" s="4"/>
      <c r="P51" s="4"/>
      <c r="Q51" s="4">
        <f t="shared" ref="Q51:Q96" si="92">+O51-P51</f>
        <v>0</v>
      </c>
      <c r="R51" s="4"/>
      <c r="S51" s="4"/>
      <c r="T51" s="4">
        <f t="shared" ref="T51:T96" si="93">+R51-S51</f>
        <v>0</v>
      </c>
      <c r="U51" s="4"/>
      <c r="V51" s="4"/>
      <c r="W51" s="4">
        <f t="shared" ref="W51:W96" si="94">+U51-V51</f>
        <v>0</v>
      </c>
      <c r="X51" s="4"/>
      <c r="Y51" s="4"/>
      <c r="Z51" s="4">
        <f t="shared" ref="Z51:Z96" si="95">+X51-Y51</f>
        <v>0</v>
      </c>
      <c r="AA51" s="4"/>
      <c r="AB51" s="4"/>
      <c r="AC51" s="4">
        <f t="shared" ref="AC51:AC96" si="96">+AA51-AB51</f>
        <v>0</v>
      </c>
      <c r="AD51" s="4"/>
      <c r="AE51" s="4"/>
      <c r="AF51" s="4">
        <f t="shared" si="81"/>
        <v>0</v>
      </c>
      <c r="AG51" s="4"/>
      <c r="AH51" s="4"/>
      <c r="AI51" s="4">
        <f t="shared" si="82"/>
        <v>0</v>
      </c>
      <c r="AJ51" s="4"/>
      <c r="AK51" s="4"/>
      <c r="AL51" s="4">
        <f t="shared" si="83"/>
        <v>0</v>
      </c>
      <c r="AM51" s="4">
        <f t="shared" ref="AM51:AM96" si="97">+C51+F51+I51+L51+O51+R51+U51+X51+AA51+AD51+AG51+AJ51</f>
        <v>26796512.592504274</v>
      </c>
      <c r="AN51" s="4">
        <f t="shared" ref="AN51:AN96" si="98">+D51+G51+J51+M51+P51+S51+V51+Y51+AB51+AE51+AH51+AK51</f>
        <v>24171121.707000002</v>
      </c>
      <c r="AO51" s="4">
        <f t="shared" ref="AO51:AO85" si="99">+AM51-AN51</f>
        <v>2625390.8855042718</v>
      </c>
      <c r="AP51" s="43">
        <f t="shared" ref="AP51:AP96" si="100">+AO51/AM51*100</f>
        <v>9.7975095693559258</v>
      </c>
      <c r="AQ51" s="34">
        <f t="shared" si="16"/>
        <v>-294761638.51754701</v>
      </c>
      <c r="AR51" s="38"/>
      <c r="AS51" s="38"/>
      <c r="AT51" s="2"/>
      <c r="AU51" s="2"/>
      <c r="AX51" s="2"/>
    </row>
    <row r="52" spans="1:54" x14ac:dyDescent="0.25">
      <c r="A52" s="5" t="s">
        <v>71</v>
      </c>
      <c r="B52" s="4">
        <v>12900000</v>
      </c>
      <c r="C52" s="4">
        <v>1075000</v>
      </c>
      <c r="D52" s="4"/>
      <c r="E52" s="4">
        <f t="shared" si="72"/>
        <v>1075000</v>
      </c>
      <c r="F52" s="4"/>
      <c r="G52" s="4"/>
      <c r="H52" s="4">
        <f t="shared" si="73"/>
        <v>0</v>
      </c>
      <c r="I52" s="4"/>
      <c r="J52" s="4"/>
      <c r="K52" s="4">
        <f t="shared" si="90"/>
        <v>0</v>
      </c>
      <c r="L52" s="4"/>
      <c r="M52" s="4"/>
      <c r="N52" s="4">
        <f t="shared" si="91"/>
        <v>0</v>
      </c>
      <c r="O52" s="4"/>
      <c r="P52" s="4"/>
      <c r="Q52" s="4">
        <f t="shared" si="92"/>
        <v>0</v>
      </c>
      <c r="R52" s="4"/>
      <c r="S52" s="4"/>
      <c r="T52" s="4">
        <f t="shared" si="93"/>
        <v>0</v>
      </c>
      <c r="U52" s="4"/>
      <c r="V52" s="4"/>
      <c r="W52" s="4">
        <f t="shared" si="94"/>
        <v>0</v>
      </c>
      <c r="X52" s="4"/>
      <c r="Y52" s="4"/>
      <c r="Z52" s="4">
        <f t="shared" si="95"/>
        <v>0</v>
      </c>
      <c r="AA52" s="4"/>
      <c r="AB52" s="4"/>
      <c r="AC52" s="4">
        <f t="shared" si="96"/>
        <v>0</v>
      </c>
      <c r="AD52" s="4"/>
      <c r="AE52" s="4"/>
      <c r="AF52" s="4">
        <f t="shared" si="81"/>
        <v>0</v>
      </c>
      <c r="AG52" s="4"/>
      <c r="AH52" s="4"/>
      <c r="AI52" s="4">
        <f t="shared" si="82"/>
        <v>0</v>
      </c>
      <c r="AJ52" s="4"/>
      <c r="AK52" s="4"/>
      <c r="AL52" s="4">
        <f t="shared" si="83"/>
        <v>0</v>
      </c>
      <c r="AM52" s="4">
        <f t="shared" si="97"/>
        <v>1075000</v>
      </c>
      <c r="AN52" s="4">
        <f t="shared" si="98"/>
        <v>0</v>
      </c>
      <c r="AO52" s="4">
        <f t="shared" si="99"/>
        <v>1075000</v>
      </c>
      <c r="AP52" s="43">
        <v>0</v>
      </c>
      <c r="AQ52" s="34">
        <f t="shared" si="16"/>
        <v>-11825000</v>
      </c>
      <c r="AR52" s="38"/>
      <c r="AS52" s="38"/>
      <c r="AT52" s="2"/>
      <c r="AU52" s="2"/>
      <c r="AX52" s="2"/>
    </row>
    <row r="53" spans="1:54" x14ac:dyDescent="0.25">
      <c r="A53" s="5" t="s">
        <v>19</v>
      </c>
      <c r="B53" s="4">
        <v>143580000</v>
      </c>
      <c r="C53" s="4">
        <v>11965000</v>
      </c>
      <c r="D53" s="4">
        <v>12181960</v>
      </c>
      <c r="E53" s="4">
        <f t="shared" si="72"/>
        <v>-216960</v>
      </c>
      <c r="F53" s="4"/>
      <c r="G53" s="4"/>
      <c r="H53" s="4">
        <f t="shared" si="73"/>
        <v>0</v>
      </c>
      <c r="I53" s="4"/>
      <c r="J53" s="4"/>
      <c r="K53" s="4">
        <f t="shared" si="90"/>
        <v>0</v>
      </c>
      <c r="L53" s="4"/>
      <c r="M53" s="4"/>
      <c r="N53" s="4">
        <f t="shared" si="91"/>
        <v>0</v>
      </c>
      <c r="O53" s="4"/>
      <c r="P53" s="4"/>
      <c r="Q53" s="4">
        <f t="shared" si="92"/>
        <v>0</v>
      </c>
      <c r="R53" s="4"/>
      <c r="S53" s="4"/>
      <c r="T53" s="4">
        <f t="shared" si="93"/>
        <v>0</v>
      </c>
      <c r="U53" s="4"/>
      <c r="V53" s="4"/>
      <c r="W53" s="4">
        <f t="shared" si="94"/>
        <v>0</v>
      </c>
      <c r="X53" s="4"/>
      <c r="Y53" s="4"/>
      <c r="Z53" s="4">
        <f t="shared" si="95"/>
        <v>0</v>
      </c>
      <c r="AA53" s="4"/>
      <c r="AB53" s="4"/>
      <c r="AC53" s="4">
        <f t="shared" si="96"/>
        <v>0</v>
      </c>
      <c r="AD53" s="4"/>
      <c r="AE53" s="4"/>
      <c r="AF53" s="4">
        <f t="shared" si="81"/>
        <v>0</v>
      </c>
      <c r="AG53" s="4"/>
      <c r="AH53" s="4"/>
      <c r="AI53" s="4">
        <f t="shared" si="82"/>
        <v>0</v>
      </c>
      <c r="AJ53" s="4"/>
      <c r="AK53" s="4"/>
      <c r="AL53" s="4">
        <f t="shared" si="83"/>
        <v>0</v>
      </c>
      <c r="AM53" s="4">
        <f t="shared" si="97"/>
        <v>11965000</v>
      </c>
      <c r="AN53" s="4">
        <f t="shared" si="98"/>
        <v>12181960</v>
      </c>
      <c r="AO53" s="4">
        <f t="shared" si="99"/>
        <v>-216960</v>
      </c>
      <c r="AP53" s="43">
        <v>0</v>
      </c>
      <c r="AQ53" s="34">
        <f t="shared" si="16"/>
        <v>-131615000</v>
      </c>
      <c r="AR53" s="38"/>
      <c r="AS53" s="38"/>
      <c r="AT53" s="2"/>
      <c r="AU53" s="2"/>
    </row>
    <row r="54" spans="1:54" x14ac:dyDescent="0.25">
      <c r="A54" s="82" t="s">
        <v>89</v>
      </c>
      <c r="B54" s="4">
        <v>55500000</v>
      </c>
      <c r="C54" s="4">
        <v>0</v>
      </c>
      <c r="D54" s="4"/>
      <c r="E54" s="4">
        <f t="shared" si="72"/>
        <v>0</v>
      </c>
      <c r="F54" s="4"/>
      <c r="G54" s="4"/>
      <c r="H54" s="4">
        <f t="shared" si="73"/>
        <v>0</v>
      </c>
      <c r="I54" s="4"/>
      <c r="J54" s="4"/>
      <c r="K54" s="4">
        <f t="shared" si="90"/>
        <v>0</v>
      </c>
      <c r="L54" s="4"/>
      <c r="M54" s="4"/>
      <c r="N54" s="4">
        <f t="shared" si="91"/>
        <v>0</v>
      </c>
      <c r="O54" s="4"/>
      <c r="P54" s="4"/>
      <c r="Q54" s="4">
        <f t="shared" si="92"/>
        <v>0</v>
      </c>
      <c r="R54" s="4"/>
      <c r="S54" s="4"/>
      <c r="T54" s="4">
        <f t="shared" si="93"/>
        <v>0</v>
      </c>
      <c r="U54" s="4"/>
      <c r="V54" s="4"/>
      <c r="W54" s="4">
        <f t="shared" si="94"/>
        <v>0</v>
      </c>
      <c r="X54" s="4"/>
      <c r="Y54" s="4"/>
      <c r="Z54" s="4">
        <f t="shared" si="95"/>
        <v>0</v>
      </c>
      <c r="AA54" s="4"/>
      <c r="AB54" s="4"/>
      <c r="AC54" s="4">
        <f t="shared" si="96"/>
        <v>0</v>
      </c>
      <c r="AD54" s="4"/>
      <c r="AE54" s="4"/>
      <c r="AF54" s="4">
        <f t="shared" si="81"/>
        <v>0</v>
      </c>
      <c r="AG54" s="4"/>
      <c r="AH54" s="4"/>
      <c r="AI54" s="4">
        <f t="shared" si="82"/>
        <v>0</v>
      </c>
      <c r="AJ54" s="4"/>
      <c r="AK54" s="4"/>
      <c r="AL54" s="4">
        <f t="shared" si="83"/>
        <v>0</v>
      </c>
      <c r="AM54" s="4">
        <f t="shared" si="97"/>
        <v>0</v>
      </c>
      <c r="AN54" s="4">
        <f t="shared" si="98"/>
        <v>0</v>
      </c>
      <c r="AO54" s="4">
        <f t="shared" si="99"/>
        <v>0</v>
      </c>
      <c r="AP54" s="43" t="e">
        <f t="shared" si="100"/>
        <v>#DIV/0!</v>
      </c>
      <c r="AQ54" s="34">
        <f t="shared" si="16"/>
        <v>-55500000</v>
      </c>
      <c r="AR54" s="38"/>
      <c r="AS54" s="38"/>
      <c r="AT54" s="2"/>
      <c r="AU54" s="2"/>
    </row>
    <row r="55" spans="1:54" x14ac:dyDescent="0.25">
      <c r="A55" s="21" t="s">
        <v>72</v>
      </c>
      <c r="B55" s="4">
        <v>65580000</v>
      </c>
      <c r="C55" s="4">
        <v>5465000</v>
      </c>
      <c r="D55" s="4"/>
      <c r="E55" s="4">
        <f t="shared" si="72"/>
        <v>5465000</v>
      </c>
      <c r="F55" s="4"/>
      <c r="G55" s="4"/>
      <c r="H55" s="4">
        <f t="shared" si="73"/>
        <v>0</v>
      </c>
      <c r="I55" s="4"/>
      <c r="J55" s="4"/>
      <c r="K55" s="4">
        <f t="shared" si="90"/>
        <v>0</v>
      </c>
      <c r="L55" s="4"/>
      <c r="M55" s="4"/>
      <c r="N55" s="4">
        <f t="shared" si="91"/>
        <v>0</v>
      </c>
      <c r="O55" s="4"/>
      <c r="P55" s="4"/>
      <c r="Q55" s="4">
        <f t="shared" si="92"/>
        <v>0</v>
      </c>
      <c r="R55" s="4"/>
      <c r="S55" s="4"/>
      <c r="T55" s="4">
        <f t="shared" si="93"/>
        <v>0</v>
      </c>
      <c r="U55" s="4"/>
      <c r="V55" s="4"/>
      <c r="W55" s="4">
        <f t="shared" si="94"/>
        <v>0</v>
      </c>
      <c r="X55" s="4"/>
      <c r="Y55" s="4"/>
      <c r="Z55" s="4">
        <f t="shared" si="95"/>
        <v>0</v>
      </c>
      <c r="AA55" s="4"/>
      <c r="AB55" s="4"/>
      <c r="AC55" s="4">
        <f t="shared" si="96"/>
        <v>0</v>
      </c>
      <c r="AD55" s="4"/>
      <c r="AE55" s="4"/>
      <c r="AF55" s="4">
        <f t="shared" si="81"/>
        <v>0</v>
      </c>
      <c r="AG55" s="4"/>
      <c r="AH55" s="4"/>
      <c r="AI55" s="4">
        <f t="shared" si="82"/>
        <v>0</v>
      </c>
      <c r="AJ55" s="4"/>
      <c r="AK55" s="4"/>
      <c r="AL55" s="4">
        <f t="shared" si="83"/>
        <v>0</v>
      </c>
      <c r="AM55" s="4">
        <f t="shared" si="97"/>
        <v>5465000</v>
      </c>
      <c r="AN55" s="4">
        <f t="shared" si="98"/>
        <v>0</v>
      </c>
      <c r="AO55" s="4">
        <f t="shared" si="99"/>
        <v>5465000</v>
      </c>
      <c r="AP55" s="43">
        <v>0</v>
      </c>
      <c r="AQ55" s="34">
        <f t="shared" si="16"/>
        <v>-60115000</v>
      </c>
      <c r="AR55" s="38"/>
      <c r="AS55" s="38"/>
      <c r="AT55" s="2"/>
      <c r="AU55" s="2"/>
    </row>
    <row r="56" spans="1:54" ht="24.75" x14ac:dyDescent="0.25">
      <c r="A56" s="83" t="s">
        <v>65</v>
      </c>
      <c r="B56" s="52">
        <v>121000000</v>
      </c>
      <c r="C56" s="4">
        <v>0</v>
      </c>
      <c r="D56" s="4"/>
      <c r="E56" s="4">
        <f t="shared" si="72"/>
        <v>0</v>
      </c>
      <c r="F56" s="4"/>
      <c r="G56" s="4"/>
      <c r="H56" s="4">
        <f t="shared" si="73"/>
        <v>0</v>
      </c>
      <c r="I56" s="4"/>
      <c r="J56" s="4"/>
      <c r="K56" s="4">
        <f t="shared" si="90"/>
        <v>0</v>
      </c>
      <c r="L56" s="4"/>
      <c r="M56" s="4"/>
      <c r="N56" s="4">
        <f t="shared" si="91"/>
        <v>0</v>
      </c>
      <c r="O56" s="4"/>
      <c r="P56" s="4"/>
      <c r="Q56" s="4">
        <f t="shared" si="92"/>
        <v>0</v>
      </c>
      <c r="R56" s="4"/>
      <c r="S56" s="4"/>
      <c r="T56" s="4">
        <f t="shared" si="93"/>
        <v>0</v>
      </c>
      <c r="U56" s="4"/>
      <c r="V56" s="4"/>
      <c r="W56" s="4">
        <f t="shared" si="94"/>
        <v>0</v>
      </c>
      <c r="X56" s="4"/>
      <c r="Y56" s="4"/>
      <c r="Z56" s="4">
        <f t="shared" si="95"/>
        <v>0</v>
      </c>
      <c r="AA56" s="4"/>
      <c r="AB56" s="4"/>
      <c r="AC56" s="4">
        <f t="shared" si="96"/>
        <v>0</v>
      </c>
      <c r="AD56" s="4"/>
      <c r="AE56" s="4"/>
      <c r="AF56" s="4">
        <f t="shared" si="81"/>
        <v>0</v>
      </c>
      <c r="AG56" s="4"/>
      <c r="AH56" s="4"/>
      <c r="AI56" s="4">
        <f t="shared" si="82"/>
        <v>0</v>
      </c>
      <c r="AJ56" s="4"/>
      <c r="AK56" s="4"/>
      <c r="AL56" s="4">
        <f t="shared" si="83"/>
        <v>0</v>
      </c>
      <c r="AM56" s="4">
        <f t="shared" si="97"/>
        <v>0</v>
      </c>
      <c r="AN56" s="4">
        <f t="shared" si="98"/>
        <v>0</v>
      </c>
      <c r="AO56" s="4">
        <f t="shared" si="99"/>
        <v>0</v>
      </c>
      <c r="AP56" s="43" t="e">
        <f t="shared" si="100"/>
        <v>#DIV/0!</v>
      </c>
      <c r="AQ56" s="34">
        <f t="shared" si="16"/>
        <v>-121000000</v>
      </c>
      <c r="AR56" s="38"/>
      <c r="AS56" s="38"/>
      <c r="AT56" s="2"/>
      <c r="AU56" s="2"/>
    </row>
    <row r="57" spans="1:54" x14ac:dyDescent="0.25">
      <c r="A57" s="21" t="s">
        <v>182</v>
      </c>
      <c r="B57" s="4">
        <v>35155000</v>
      </c>
      <c r="C57" s="4">
        <v>0</v>
      </c>
      <c r="D57" s="4"/>
      <c r="E57" s="4">
        <f t="shared" si="72"/>
        <v>0</v>
      </c>
      <c r="F57" s="4"/>
      <c r="G57" s="4"/>
      <c r="H57" s="4">
        <f t="shared" si="73"/>
        <v>0</v>
      </c>
      <c r="I57" s="4"/>
      <c r="J57" s="4"/>
      <c r="K57" s="4">
        <f t="shared" si="90"/>
        <v>0</v>
      </c>
      <c r="L57" s="4"/>
      <c r="M57" s="4"/>
      <c r="N57" s="4">
        <f t="shared" si="91"/>
        <v>0</v>
      </c>
      <c r="O57" s="4"/>
      <c r="P57" s="4"/>
      <c r="Q57" s="4">
        <f t="shared" si="92"/>
        <v>0</v>
      </c>
      <c r="R57" s="4"/>
      <c r="S57" s="4"/>
      <c r="T57" s="4">
        <f t="shared" si="93"/>
        <v>0</v>
      </c>
      <c r="U57" s="4"/>
      <c r="V57" s="4"/>
      <c r="W57" s="4">
        <f t="shared" si="94"/>
        <v>0</v>
      </c>
      <c r="X57" s="4"/>
      <c r="Y57" s="4"/>
      <c r="Z57" s="4">
        <f t="shared" si="95"/>
        <v>0</v>
      </c>
      <c r="AA57" s="4"/>
      <c r="AB57" s="4"/>
      <c r="AC57" s="4">
        <f t="shared" si="96"/>
        <v>0</v>
      </c>
      <c r="AD57" s="4"/>
      <c r="AE57" s="4"/>
      <c r="AF57" s="4">
        <f t="shared" si="81"/>
        <v>0</v>
      </c>
      <c r="AG57" s="4"/>
      <c r="AH57" s="4"/>
      <c r="AI57" s="4">
        <f t="shared" si="82"/>
        <v>0</v>
      </c>
      <c r="AJ57" s="4"/>
      <c r="AK57" s="4"/>
      <c r="AL57" s="4">
        <f t="shared" si="83"/>
        <v>0</v>
      </c>
      <c r="AM57" s="4">
        <f t="shared" si="97"/>
        <v>0</v>
      </c>
      <c r="AN57" s="4">
        <f t="shared" si="98"/>
        <v>0</v>
      </c>
      <c r="AO57" s="4">
        <f t="shared" si="99"/>
        <v>0</v>
      </c>
      <c r="AP57" s="43" t="e">
        <f t="shared" si="100"/>
        <v>#DIV/0!</v>
      </c>
      <c r="AQ57" s="34">
        <f t="shared" si="16"/>
        <v>-35155000</v>
      </c>
      <c r="AR57" s="38"/>
      <c r="AS57" s="38"/>
      <c r="AT57" s="2"/>
      <c r="AU57" s="2"/>
    </row>
    <row r="58" spans="1:54" x14ac:dyDescent="0.25">
      <c r="A58" s="21" t="s">
        <v>85</v>
      </c>
      <c r="B58" s="4">
        <v>8000000</v>
      </c>
      <c r="C58" s="4">
        <v>666666.66666666663</v>
      </c>
      <c r="D58" s="4">
        <v>296683</v>
      </c>
      <c r="E58" s="4">
        <f t="shared" si="72"/>
        <v>369983.66666666663</v>
      </c>
      <c r="F58" s="4"/>
      <c r="G58" s="4"/>
      <c r="H58" s="4">
        <f t="shared" si="73"/>
        <v>0</v>
      </c>
      <c r="I58" s="4"/>
      <c r="J58" s="4"/>
      <c r="K58" s="4">
        <f t="shared" si="90"/>
        <v>0</v>
      </c>
      <c r="L58" s="4"/>
      <c r="M58" s="4"/>
      <c r="N58" s="4">
        <f t="shared" si="91"/>
        <v>0</v>
      </c>
      <c r="O58" s="4"/>
      <c r="P58" s="4"/>
      <c r="Q58" s="4">
        <f t="shared" si="92"/>
        <v>0</v>
      </c>
      <c r="R58" s="4"/>
      <c r="S58" s="4"/>
      <c r="T58" s="4">
        <f t="shared" si="93"/>
        <v>0</v>
      </c>
      <c r="U58" s="4"/>
      <c r="V58" s="4"/>
      <c r="W58" s="4">
        <f t="shared" si="94"/>
        <v>0</v>
      </c>
      <c r="X58" s="4"/>
      <c r="Y58" s="4"/>
      <c r="Z58" s="4">
        <f t="shared" si="95"/>
        <v>0</v>
      </c>
      <c r="AA58" s="4"/>
      <c r="AB58" s="4"/>
      <c r="AC58" s="4">
        <f t="shared" si="96"/>
        <v>0</v>
      </c>
      <c r="AD58" s="4"/>
      <c r="AE58" s="4"/>
      <c r="AF58" s="4">
        <f t="shared" si="81"/>
        <v>0</v>
      </c>
      <c r="AG58" s="4"/>
      <c r="AH58" s="4"/>
      <c r="AI58" s="4">
        <f t="shared" si="82"/>
        <v>0</v>
      </c>
      <c r="AJ58" s="4"/>
      <c r="AK58" s="4"/>
      <c r="AL58" s="4">
        <f t="shared" si="83"/>
        <v>0</v>
      </c>
      <c r="AM58" s="4">
        <f t="shared" si="97"/>
        <v>666666.66666666663</v>
      </c>
      <c r="AN58" s="4">
        <f t="shared" si="98"/>
        <v>296683</v>
      </c>
      <c r="AO58" s="4">
        <f t="shared" si="99"/>
        <v>369983.66666666663</v>
      </c>
      <c r="AP58" s="43">
        <v>0</v>
      </c>
      <c r="AQ58" s="34">
        <f t="shared" si="16"/>
        <v>-7333333.333333333</v>
      </c>
      <c r="AR58" s="38"/>
      <c r="AS58" s="38"/>
      <c r="AT58" s="2"/>
      <c r="AU58" s="2"/>
    </row>
    <row r="59" spans="1:54" x14ac:dyDescent="0.25">
      <c r="A59" s="21" t="s">
        <v>23</v>
      </c>
      <c r="B59" s="4">
        <v>117000000</v>
      </c>
      <c r="C59" s="4">
        <v>0</v>
      </c>
      <c r="D59" s="4"/>
      <c r="E59" s="4">
        <f t="shared" si="72"/>
        <v>0</v>
      </c>
      <c r="F59" s="4"/>
      <c r="G59" s="4"/>
      <c r="H59" s="4">
        <f t="shared" si="73"/>
        <v>0</v>
      </c>
      <c r="I59" s="4"/>
      <c r="J59" s="4"/>
      <c r="K59" s="4">
        <f t="shared" si="90"/>
        <v>0</v>
      </c>
      <c r="L59" s="4"/>
      <c r="M59" s="4"/>
      <c r="N59" s="4">
        <f t="shared" si="91"/>
        <v>0</v>
      </c>
      <c r="O59" s="4"/>
      <c r="P59" s="4"/>
      <c r="Q59" s="4">
        <f t="shared" si="92"/>
        <v>0</v>
      </c>
      <c r="R59" s="4"/>
      <c r="S59" s="4"/>
      <c r="T59" s="4">
        <f t="shared" si="93"/>
        <v>0</v>
      </c>
      <c r="U59" s="4"/>
      <c r="V59" s="4"/>
      <c r="W59" s="4">
        <f t="shared" si="94"/>
        <v>0</v>
      </c>
      <c r="X59" s="4"/>
      <c r="Y59" s="4"/>
      <c r="Z59" s="4">
        <f t="shared" si="95"/>
        <v>0</v>
      </c>
      <c r="AA59" s="4"/>
      <c r="AB59" s="4"/>
      <c r="AC59" s="4">
        <f t="shared" si="96"/>
        <v>0</v>
      </c>
      <c r="AD59" s="4"/>
      <c r="AE59" s="4"/>
      <c r="AF59" s="4">
        <f t="shared" si="81"/>
        <v>0</v>
      </c>
      <c r="AG59" s="4"/>
      <c r="AH59" s="4"/>
      <c r="AI59" s="4">
        <f t="shared" si="82"/>
        <v>0</v>
      </c>
      <c r="AJ59" s="4"/>
      <c r="AK59" s="4"/>
      <c r="AL59" s="4">
        <f t="shared" si="83"/>
        <v>0</v>
      </c>
      <c r="AM59" s="4">
        <f t="shared" si="97"/>
        <v>0</v>
      </c>
      <c r="AN59" s="4">
        <f t="shared" si="98"/>
        <v>0</v>
      </c>
      <c r="AO59" s="4">
        <f t="shared" si="99"/>
        <v>0</v>
      </c>
      <c r="AP59" s="43" t="e">
        <f t="shared" si="100"/>
        <v>#DIV/0!</v>
      </c>
      <c r="AQ59" s="34">
        <f t="shared" si="16"/>
        <v>-117000000</v>
      </c>
      <c r="AR59" s="38"/>
      <c r="AS59" s="38"/>
      <c r="AT59" s="2"/>
      <c r="AU59" s="2"/>
    </row>
    <row r="60" spans="1:54" ht="30" customHeight="1" x14ac:dyDescent="0.25">
      <c r="A60" s="84" t="s">
        <v>181</v>
      </c>
      <c r="B60" s="4">
        <v>12000000</v>
      </c>
      <c r="C60" s="4">
        <v>0</v>
      </c>
      <c r="D60" s="4"/>
      <c r="E60" s="4">
        <f t="shared" si="72"/>
        <v>0</v>
      </c>
      <c r="F60" s="4"/>
      <c r="G60" s="4"/>
      <c r="H60" s="4">
        <f t="shared" si="73"/>
        <v>0</v>
      </c>
      <c r="I60" s="4"/>
      <c r="J60" s="4"/>
      <c r="K60" s="4">
        <f t="shared" si="90"/>
        <v>0</v>
      </c>
      <c r="L60" s="4"/>
      <c r="M60" s="4"/>
      <c r="N60" s="4">
        <f t="shared" si="91"/>
        <v>0</v>
      </c>
      <c r="O60" s="4"/>
      <c r="P60" s="4"/>
      <c r="Q60" s="4">
        <f t="shared" si="92"/>
        <v>0</v>
      </c>
      <c r="R60" s="4"/>
      <c r="S60" s="4"/>
      <c r="T60" s="4">
        <f t="shared" si="93"/>
        <v>0</v>
      </c>
      <c r="U60" s="4"/>
      <c r="V60" s="4"/>
      <c r="W60" s="4">
        <f t="shared" si="94"/>
        <v>0</v>
      </c>
      <c r="X60" s="4">
        <f>+'202401anual'!J99</f>
        <v>0</v>
      </c>
      <c r="Y60" s="4"/>
      <c r="Z60" s="4">
        <f t="shared" si="95"/>
        <v>0</v>
      </c>
      <c r="AA60" s="4"/>
      <c r="AB60" s="4"/>
      <c r="AC60" s="4">
        <f t="shared" si="96"/>
        <v>0</v>
      </c>
      <c r="AD60" s="4"/>
      <c r="AE60" s="4"/>
      <c r="AF60" s="4">
        <f t="shared" si="81"/>
        <v>0</v>
      </c>
      <c r="AG60" s="4"/>
      <c r="AH60" s="4"/>
      <c r="AI60" s="4">
        <f t="shared" si="82"/>
        <v>0</v>
      </c>
      <c r="AJ60" s="4"/>
      <c r="AK60" s="4"/>
      <c r="AL60" s="4">
        <f t="shared" si="83"/>
        <v>0</v>
      </c>
      <c r="AM60" s="4">
        <f t="shared" si="97"/>
        <v>0</v>
      </c>
      <c r="AN60" s="4">
        <f t="shared" si="98"/>
        <v>0</v>
      </c>
      <c r="AO60" s="4">
        <f t="shared" si="99"/>
        <v>0</v>
      </c>
      <c r="AP60" s="43" t="e">
        <f t="shared" si="100"/>
        <v>#DIV/0!</v>
      </c>
      <c r="AQ60" s="34">
        <f t="shared" si="16"/>
        <v>-12000000</v>
      </c>
      <c r="AR60" s="38"/>
      <c r="AS60" s="38"/>
      <c r="AT60" s="2"/>
      <c r="AU60" s="2"/>
    </row>
    <row r="61" spans="1:54" x14ac:dyDescent="0.25">
      <c r="A61" s="21" t="s">
        <v>37</v>
      </c>
      <c r="B61" s="4">
        <v>82018600</v>
      </c>
      <c r="C61" s="4">
        <v>6463000</v>
      </c>
      <c r="D61" s="4"/>
      <c r="E61" s="4">
        <f t="shared" si="72"/>
        <v>6463000</v>
      </c>
      <c r="F61" s="4"/>
      <c r="G61" s="4"/>
      <c r="H61" s="4">
        <f t="shared" si="73"/>
        <v>0</v>
      </c>
      <c r="I61" s="4"/>
      <c r="J61" s="4"/>
      <c r="K61" s="4">
        <f t="shared" si="90"/>
        <v>0</v>
      </c>
      <c r="L61" s="4"/>
      <c r="M61" s="4"/>
      <c r="N61" s="4">
        <f t="shared" si="91"/>
        <v>0</v>
      </c>
      <c r="O61" s="4"/>
      <c r="P61" s="4"/>
      <c r="Q61" s="4">
        <f t="shared" si="92"/>
        <v>0</v>
      </c>
      <c r="R61" s="4"/>
      <c r="S61" s="4"/>
      <c r="T61" s="4">
        <f t="shared" si="93"/>
        <v>0</v>
      </c>
      <c r="U61" s="4"/>
      <c r="V61" s="4"/>
      <c r="W61" s="4">
        <f t="shared" si="94"/>
        <v>0</v>
      </c>
      <c r="X61" s="4"/>
      <c r="Y61" s="4"/>
      <c r="Z61" s="4">
        <f t="shared" si="95"/>
        <v>0</v>
      </c>
      <c r="AA61" s="4"/>
      <c r="AB61" s="4"/>
      <c r="AC61" s="4">
        <f t="shared" si="96"/>
        <v>0</v>
      </c>
      <c r="AD61" s="4"/>
      <c r="AE61" s="4"/>
      <c r="AF61" s="4">
        <f t="shared" si="81"/>
        <v>0</v>
      </c>
      <c r="AG61" s="4"/>
      <c r="AH61" s="4"/>
      <c r="AI61" s="4">
        <f t="shared" si="82"/>
        <v>0</v>
      </c>
      <c r="AJ61" s="4"/>
      <c r="AK61" s="4"/>
      <c r="AL61" s="4">
        <f t="shared" si="83"/>
        <v>0</v>
      </c>
      <c r="AM61" s="4">
        <f t="shared" si="97"/>
        <v>6463000</v>
      </c>
      <c r="AN61" s="4">
        <f t="shared" si="98"/>
        <v>0</v>
      </c>
      <c r="AO61" s="4">
        <f t="shared" si="99"/>
        <v>6463000</v>
      </c>
      <c r="AP61" s="43">
        <f t="shared" si="100"/>
        <v>100</v>
      </c>
      <c r="AQ61" s="34">
        <f t="shared" si="16"/>
        <v>-75555600</v>
      </c>
      <c r="AR61" s="38"/>
      <c r="AS61" s="38"/>
      <c r="AT61" s="2"/>
      <c r="AU61" s="2"/>
    </row>
    <row r="62" spans="1:54" x14ac:dyDescent="0.25">
      <c r="A62" s="21" t="s">
        <v>25</v>
      </c>
      <c r="B62" s="4">
        <v>52971800</v>
      </c>
      <c r="C62" s="4">
        <v>3789200</v>
      </c>
      <c r="D62" s="4">
        <v>3789200</v>
      </c>
      <c r="E62" s="4">
        <f t="shared" si="72"/>
        <v>0</v>
      </c>
      <c r="F62" s="4"/>
      <c r="G62" s="4"/>
      <c r="H62" s="4">
        <f t="shared" si="73"/>
        <v>0</v>
      </c>
      <c r="I62" s="4"/>
      <c r="J62" s="4"/>
      <c r="K62" s="4">
        <f t="shared" si="90"/>
        <v>0</v>
      </c>
      <c r="L62" s="4"/>
      <c r="M62" s="4"/>
      <c r="N62" s="4">
        <f t="shared" si="91"/>
        <v>0</v>
      </c>
      <c r="O62" s="4"/>
      <c r="P62" s="4"/>
      <c r="Q62" s="4">
        <f t="shared" si="92"/>
        <v>0</v>
      </c>
      <c r="R62" s="4"/>
      <c r="S62" s="4"/>
      <c r="T62" s="4">
        <f t="shared" si="93"/>
        <v>0</v>
      </c>
      <c r="U62" s="4"/>
      <c r="V62" s="4"/>
      <c r="W62" s="4">
        <f t="shared" si="94"/>
        <v>0</v>
      </c>
      <c r="X62" s="4"/>
      <c r="Y62" s="4"/>
      <c r="Z62" s="4">
        <f t="shared" si="95"/>
        <v>0</v>
      </c>
      <c r="AA62" s="4"/>
      <c r="AB62" s="4"/>
      <c r="AC62" s="4">
        <f t="shared" si="96"/>
        <v>0</v>
      </c>
      <c r="AD62" s="4"/>
      <c r="AE62" s="4"/>
      <c r="AF62" s="4">
        <f t="shared" si="81"/>
        <v>0</v>
      </c>
      <c r="AG62" s="4"/>
      <c r="AH62" s="4"/>
      <c r="AI62" s="4">
        <f t="shared" si="82"/>
        <v>0</v>
      </c>
      <c r="AJ62" s="4"/>
      <c r="AK62" s="4"/>
      <c r="AL62" s="4">
        <f t="shared" si="83"/>
        <v>0</v>
      </c>
      <c r="AM62" s="4">
        <f t="shared" si="97"/>
        <v>3789200</v>
      </c>
      <c r="AN62" s="4">
        <f t="shared" si="98"/>
        <v>3789200</v>
      </c>
      <c r="AO62" s="4">
        <f t="shared" si="99"/>
        <v>0</v>
      </c>
      <c r="AP62" s="43">
        <f t="shared" si="100"/>
        <v>0</v>
      </c>
      <c r="AQ62" s="34">
        <f t="shared" si="16"/>
        <v>-49182600</v>
      </c>
      <c r="AR62" s="38"/>
      <c r="AS62" s="38"/>
      <c r="AT62" s="2"/>
      <c r="AU62" s="2"/>
    </row>
    <row r="63" spans="1:54" x14ac:dyDescent="0.25">
      <c r="A63" s="21" t="s">
        <v>60</v>
      </c>
      <c r="B63" s="4">
        <v>45470400</v>
      </c>
      <c r="C63" s="4">
        <v>3789200</v>
      </c>
      <c r="D63" s="4">
        <f>7199200-3789200</f>
        <v>3410000</v>
      </c>
      <c r="E63" s="4">
        <f t="shared" si="72"/>
        <v>379200</v>
      </c>
      <c r="F63" s="4"/>
      <c r="G63" s="4"/>
      <c r="H63" s="4">
        <f t="shared" si="73"/>
        <v>0</v>
      </c>
      <c r="I63" s="4"/>
      <c r="J63" s="4"/>
      <c r="K63" s="4">
        <f t="shared" si="90"/>
        <v>0</v>
      </c>
      <c r="L63" s="4"/>
      <c r="M63" s="4"/>
      <c r="N63" s="4">
        <f t="shared" si="91"/>
        <v>0</v>
      </c>
      <c r="O63" s="4"/>
      <c r="P63" s="4"/>
      <c r="Q63" s="4">
        <f t="shared" si="92"/>
        <v>0</v>
      </c>
      <c r="R63" s="4"/>
      <c r="S63" s="4"/>
      <c r="T63" s="4">
        <f t="shared" si="93"/>
        <v>0</v>
      </c>
      <c r="U63" s="4"/>
      <c r="V63" s="4"/>
      <c r="W63" s="4">
        <f t="shared" si="94"/>
        <v>0</v>
      </c>
      <c r="X63" s="4"/>
      <c r="Y63" s="4"/>
      <c r="Z63" s="4">
        <f t="shared" si="95"/>
        <v>0</v>
      </c>
      <c r="AA63" s="4"/>
      <c r="AB63" s="4"/>
      <c r="AC63" s="4">
        <f t="shared" si="96"/>
        <v>0</v>
      </c>
      <c r="AD63" s="4"/>
      <c r="AE63" s="4"/>
      <c r="AF63" s="4">
        <f t="shared" si="81"/>
        <v>0</v>
      </c>
      <c r="AG63" s="4"/>
      <c r="AH63" s="4"/>
      <c r="AI63" s="4">
        <f t="shared" si="82"/>
        <v>0</v>
      </c>
      <c r="AJ63" s="4"/>
      <c r="AK63" s="4"/>
      <c r="AL63" s="4">
        <f t="shared" si="83"/>
        <v>0</v>
      </c>
      <c r="AM63" s="4">
        <f t="shared" si="97"/>
        <v>3789200</v>
      </c>
      <c r="AN63" s="4">
        <f t="shared" si="98"/>
        <v>3410000</v>
      </c>
      <c r="AO63" s="4">
        <f t="shared" si="99"/>
        <v>379200</v>
      </c>
      <c r="AP63" s="43">
        <f t="shared" si="100"/>
        <v>10.007389422569407</v>
      </c>
      <c r="AQ63" s="34">
        <f t="shared" si="16"/>
        <v>-41681200</v>
      </c>
      <c r="AR63" s="38"/>
      <c r="AS63" s="38"/>
      <c r="AT63" s="2"/>
      <c r="AU63" s="2"/>
    </row>
    <row r="64" spans="1:54" x14ac:dyDescent="0.25">
      <c r="A64" s="21" t="s">
        <v>73</v>
      </c>
      <c r="B64" s="4">
        <v>6000000</v>
      </c>
      <c r="C64" s="4">
        <v>500000</v>
      </c>
      <c r="D64" s="4">
        <v>0</v>
      </c>
      <c r="E64" s="4">
        <f t="shared" si="72"/>
        <v>500000</v>
      </c>
      <c r="F64" s="4"/>
      <c r="G64" s="4"/>
      <c r="H64" s="4">
        <f t="shared" si="73"/>
        <v>0</v>
      </c>
      <c r="I64" s="4"/>
      <c r="J64" s="4"/>
      <c r="K64" s="4">
        <f t="shared" si="90"/>
        <v>0</v>
      </c>
      <c r="L64" s="4"/>
      <c r="M64" s="4"/>
      <c r="N64" s="4">
        <f t="shared" si="91"/>
        <v>0</v>
      </c>
      <c r="O64" s="4"/>
      <c r="P64" s="4">
        <v>0</v>
      </c>
      <c r="Q64" s="4">
        <f t="shared" si="92"/>
        <v>0</v>
      </c>
      <c r="R64" s="4"/>
      <c r="S64" s="4"/>
      <c r="T64" s="4">
        <f t="shared" si="93"/>
        <v>0</v>
      </c>
      <c r="U64" s="4"/>
      <c r="V64" s="4"/>
      <c r="W64" s="4">
        <f t="shared" si="94"/>
        <v>0</v>
      </c>
      <c r="X64" s="4"/>
      <c r="Y64" s="4"/>
      <c r="Z64" s="4">
        <f t="shared" si="95"/>
        <v>0</v>
      </c>
      <c r="AA64" s="4"/>
      <c r="AB64" s="4"/>
      <c r="AC64" s="4">
        <f t="shared" si="96"/>
        <v>0</v>
      </c>
      <c r="AD64" s="4"/>
      <c r="AE64" s="4"/>
      <c r="AF64" s="4">
        <f t="shared" si="81"/>
        <v>0</v>
      </c>
      <c r="AG64" s="4"/>
      <c r="AH64" s="4"/>
      <c r="AI64" s="4">
        <f t="shared" si="82"/>
        <v>0</v>
      </c>
      <c r="AJ64" s="4"/>
      <c r="AK64" s="4"/>
      <c r="AL64" s="4">
        <f t="shared" si="83"/>
        <v>0</v>
      </c>
      <c r="AM64" s="4">
        <f t="shared" si="97"/>
        <v>500000</v>
      </c>
      <c r="AN64" s="4">
        <f t="shared" si="98"/>
        <v>0</v>
      </c>
      <c r="AO64" s="4">
        <f t="shared" si="99"/>
        <v>500000</v>
      </c>
      <c r="AP64" s="43">
        <f t="shared" si="100"/>
        <v>100</v>
      </c>
      <c r="AQ64" s="34">
        <f t="shared" si="16"/>
        <v>-5500000</v>
      </c>
      <c r="AR64" s="38"/>
      <c r="AS64" s="38"/>
      <c r="AT64" s="2"/>
      <c r="AU64" s="2"/>
    </row>
    <row r="65" spans="1:47" x14ac:dyDescent="0.25">
      <c r="A65" s="21" t="s">
        <v>27</v>
      </c>
      <c r="B65" s="4">
        <v>3270000</v>
      </c>
      <c r="C65" s="4">
        <v>1090000</v>
      </c>
      <c r="D65" s="4">
        <v>0</v>
      </c>
      <c r="E65" s="4">
        <f t="shared" si="72"/>
        <v>1090000</v>
      </c>
      <c r="F65" s="4"/>
      <c r="G65" s="4"/>
      <c r="H65" s="4">
        <f t="shared" si="73"/>
        <v>0</v>
      </c>
      <c r="I65" s="4"/>
      <c r="J65" s="4"/>
      <c r="K65" s="4">
        <f t="shared" si="90"/>
        <v>0</v>
      </c>
      <c r="L65" s="4"/>
      <c r="M65" s="4"/>
      <c r="N65" s="4">
        <f t="shared" si="91"/>
        <v>0</v>
      </c>
      <c r="O65" s="4"/>
      <c r="P65" s="4">
        <v>0</v>
      </c>
      <c r="Q65" s="4">
        <f t="shared" si="92"/>
        <v>0</v>
      </c>
      <c r="R65" s="4"/>
      <c r="S65" s="4"/>
      <c r="T65" s="4">
        <f t="shared" si="93"/>
        <v>0</v>
      </c>
      <c r="U65" s="4"/>
      <c r="V65" s="4"/>
      <c r="W65" s="4">
        <f t="shared" si="94"/>
        <v>0</v>
      </c>
      <c r="X65" s="4"/>
      <c r="Y65" s="4"/>
      <c r="Z65" s="4">
        <f t="shared" si="95"/>
        <v>0</v>
      </c>
      <c r="AA65" s="4"/>
      <c r="AB65" s="4"/>
      <c r="AC65" s="4">
        <f t="shared" si="96"/>
        <v>0</v>
      </c>
      <c r="AD65" s="4"/>
      <c r="AE65" s="4"/>
      <c r="AF65" s="4">
        <f t="shared" si="81"/>
        <v>0</v>
      </c>
      <c r="AG65" s="4"/>
      <c r="AH65" s="4"/>
      <c r="AI65" s="4">
        <f t="shared" si="82"/>
        <v>0</v>
      </c>
      <c r="AJ65" s="4"/>
      <c r="AK65" s="4"/>
      <c r="AL65" s="4">
        <f t="shared" si="83"/>
        <v>0</v>
      </c>
      <c r="AM65" s="4">
        <f t="shared" si="97"/>
        <v>1090000</v>
      </c>
      <c r="AN65" s="4">
        <f t="shared" si="98"/>
        <v>0</v>
      </c>
      <c r="AO65" s="4">
        <f t="shared" si="99"/>
        <v>1090000</v>
      </c>
      <c r="AP65" s="43">
        <v>0</v>
      </c>
      <c r="AQ65" s="34">
        <f t="shared" si="16"/>
        <v>-2180000</v>
      </c>
      <c r="AR65" s="38"/>
      <c r="AS65" s="38"/>
      <c r="AT65" s="2"/>
      <c r="AU65" s="2"/>
    </row>
    <row r="66" spans="1:47" x14ac:dyDescent="0.25">
      <c r="A66" s="21" t="s">
        <v>74</v>
      </c>
      <c r="B66" s="4">
        <v>27000000</v>
      </c>
      <c r="C66" s="4">
        <v>0</v>
      </c>
      <c r="D66" s="4">
        <v>0</v>
      </c>
      <c r="E66" s="4">
        <f t="shared" si="72"/>
        <v>0</v>
      </c>
      <c r="F66" s="4"/>
      <c r="G66" s="4"/>
      <c r="H66" s="4">
        <f t="shared" si="73"/>
        <v>0</v>
      </c>
      <c r="I66" s="4"/>
      <c r="J66" s="4"/>
      <c r="K66" s="4">
        <f t="shared" si="90"/>
        <v>0</v>
      </c>
      <c r="L66" s="4"/>
      <c r="M66" s="4"/>
      <c r="N66" s="4">
        <f t="shared" si="91"/>
        <v>0</v>
      </c>
      <c r="O66" s="4"/>
      <c r="P66" s="4">
        <v>0</v>
      </c>
      <c r="Q66" s="4">
        <f t="shared" si="92"/>
        <v>0</v>
      </c>
      <c r="R66" s="4"/>
      <c r="S66" s="4"/>
      <c r="T66" s="4">
        <f t="shared" si="93"/>
        <v>0</v>
      </c>
      <c r="U66" s="4"/>
      <c r="V66" s="4"/>
      <c r="W66" s="4">
        <f t="shared" si="94"/>
        <v>0</v>
      </c>
      <c r="X66" s="4"/>
      <c r="Y66" s="4"/>
      <c r="Z66" s="4">
        <f t="shared" si="95"/>
        <v>0</v>
      </c>
      <c r="AA66" s="4"/>
      <c r="AB66" s="4"/>
      <c r="AC66" s="4">
        <f t="shared" si="96"/>
        <v>0</v>
      </c>
      <c r="AD66" s="4"/>
      <c r="AE66" s="4"/>
      <c r="AF66" s="4">
        <f t="shared" si="81"/>
        <v>0</v>
      </c>
      <c r="AG66" s="4"/>
      <c r="AH66" s="4"/>
      <c r="AI66" s="4">
        <f t="shared" si="82"/>
        <v>0</v>
      </c>
      <c r="AJ66" s="4"/>
      <c r="AK66" s="4"/>
      <c r="AL66" s="4">
        <f t="shared" si="83"/>
        <v>0</v>
      </c>
      <c r="AM66" s="4">
        <f t="shared" si="97"/>
        <v>0</v>
      </c>
      <c r="AN66" s="4">
        <f t="shared" si="98"/>
        <v>0</v>
      </c>
      <c r="AO66" s="4">
        <f t="shared" si="99"/>
        <v>0</v>
      </c>
      <c r="AP66" s="43">
        <v>0</v>
      </c>
      <c r="AQ66" s="34">
        <f t="shared" si="16"/>
        <v>-27000000</v>
      </c>
      <c r="AR66" s="38"/>
      <c r="AS66" s="38"/>
      <c r="AT66" s="2"/>
      <c r="AU66" s="2"/>
    </row>
    <row r="67" spans="1:47" x14ac:dyDescent="0.25">
      <c r="A67" s="21" t="s">
        <v>28</v>
      </c>
      <c r="B67" s="4">
        <v>10064000</v>
      </c>
      <c r="C67" s="4">
        <v>0</v>
      </c>
      <c r="D67" s="4">
        <v>0</v>
      </c>
      <c r="E67" s="4">
        <f t="shared" si="72"/>
        <v>0</v>
      </c>
      <c r="F67" s="4"/>
      <c r="G67" s="4"/>
      <c r="H67" s="4">
        <f t="shared" si="73"/>
        <v>0</v>
      </c>
      <c r="I67" s="4"/>
      <c r="J67" s="4"/>
      <c r="K67" s="4">
        <f t="shared" si="90"/>
        <v>0</v>
      </c>
      <c r="L67" s="4"/>
      <c r="M67" s="4"/>
      <c r="N67" s="4">
        <f t="shared" si="91"/>
        <v>0</v>
      </c>
      <c r="O67" s="4"/>
      <c r="P67" s="4">
        <v>0</v>
      </c>
      <c r="Q67" s="4">
        <f t="shared" si="92"/>
        <v>0</v>
      </c>
      <c r="R67" s="4"/>
      <c r="S67" s="4"/>
      <c r="T67" s="4">
        <f t="shared" si="93"/>
        <v>0</v>
      </c>
      <c r="U67" s="4"/>
      <c r="V67" s="4"/>
      <c r="W67" s="4">
        <f t="shared" si="94"/>
        <v>0</v>
      </c>
      <c r="X67" s="4"/>
      <c r="Y67" s="4"/>
      <c r="Z67" s="4">
        <f t="shared" si="95"/>
        <v>0</v>
      </c>
      <c r="AA67" s="4"/>
      <c r="AB67" s="4"/>
      <c r="AC67" s="4">
        <f t="shared" si="96"/>
        <v>0</v>
      </c>
      <c r="AD67" s="4"/>
      <c r="AE67" s="4"/>
      <c r="AF67" s="4">
        <f t="shared" si="81"/>
        <v>0</v>
      </c>
      <c r="AG67" s="4"/>
      <c r="AH67" s="4"/>
      <c r="AI67" s="4">
        <f t="shared" si="82"/>
        <v>0</v>
      </c>
      <c r="AJ67" s="4"/>
      <c r="AK67" s="4"/>
      <c r="AL67" s="4">
        <f t="shared" si="83"/>
        <v>0</v>
      </c>
      <c r="AM67" s="4">
        <f t="shared" si="97"/>
        <v>0</v>
      </c>
      <c r="AN67" s="4">
        <f t="shared" si="98"/>
        <v>0</v>
      </c>
      <c r="AO67" s="4">
        <f t="shared" si="99"/>
        <v>0</v>
      </c>
      <c r="AP67" s="43" t="e">
        <f t="shared" si="100"/>
        <v>#DIV/0!</v>
      </c>
      <c r="AQ67" s="34">
        <f t="shared" si="16"/>
        <v>-10064000</v>
      </c>
      <c r="AR67" s="38"/>
      <c r="AS67" s="38"/>
      <c r="AT67" s="2"/>
      <c r="AU67" s="2"/>
    </row>
    <row r="68" spans="1:47" ht="15" customHeight="1" x14ac:dyDescent="0.25">
      <c r="A68" s="21" t="s">
        <v>183</v>
      </c>
      <c r="B68" s="4">
        <v>36000000</v>
      </c>
      <c r="C68" s="4">
        <v>0</v>
      </c>
      <c r="D68" s="4">
        <v>0</v>
      </c>
      <c r="E68" s="4">
        <f t="shared" si="72"/>
        <v>0</v>
      </c>
      <c r="F68" s="4">
        <f>+'202401anual'!D108</f>
        <v>0</v>
      </c>
      <c r="G68" s="4"/>
      <c r="H68" s="4">
        <f t="shared" si="73"/>
        <v>0</v>
      </c>
      <c r="I68" s="4"/>
      <c r="J68" s="4"/>
      <c r="K68" s="4">
        <f t="shared" si="90"/>
        <v>0</v>
      </c>
      <c r="L68" s="4"/>
      <c r="M68" s="4"/>
      <c r="N68" s="4">
        <f t="shared" si="91"/>
        <v>0</v>
      </c>
      <c r="O68" s="4"/>
      <c r="P68" s="4"/>
      <c r="Q68" s="4">
        <f t="shared" si="92"/>
        <v>0</v>
      </c>
      <c r="R68" s="4"/>
      <c r="S68" s="4"/>
      <c r="T68" s="4">
        <f t="shared" si="93"/>
        <v>0</v>
      </c>
      <c r="U68" s="4"/>
      <c r="V68" s="4"/>
      <c r="W68" s="4">
        <f t="shared" si="94"/>
        <v>0</v>
      </c>
      <c r="X68" s="4"/>
      <c r="Y68" s="4"/>
      <c r="Z68" s="4">
        <f t="shared" si="95"/>
        <v>0</v>
      </c>
      <c r="AA68" s="4"/>
      <c r="AB68" s="4"/>
      <c r="AC68" s="4">
        <f t="shared" si="96"/>
        <v>0</v>
      </c>
      <c r="AD68" s="4"/>
      <c r="AE68" s="4"/>
      <c r="AF68" s="4">
        <f t="shared" si="81"/>
        <v>0</v>
      </c>
      <c r="AG68" s="4"/>
      <c r="AH68" s="4"/>
      <c r="AI68" s="4">
        <f t="shared" si="82"/>
        <v>0</v>
      </c>
      <c r="AJ68" s="4">
        <f>+'202401anual'!N108</f>
        <v>0</v>
      </c>
      <c r="AK68" s="4"/>
      <c r="AL68" s="4">
        <f t="shared" si="83"/>
        <v>0</v>
      </c>
      <c r="AM68" s="4">
        <f t="shared" si="97"/>
        <v>0</v>
      </c>
      <c r="AN68" s="4">
        <f t="shared" si="98"/>
        <v>0</v>
      </c>
      <c r="AO68" s="4">
        <f t="shared" si="99"/>
        <v>0</v>
      </c>
      <c r="AP68" s="43" t="e">
        <f t="shared" si="100"/>
        <v>#DIV/0!</v>
      </c>
      <c r="AQ68" s="34">
        <f t="shared" si="16"/>
        <v>-36000000</v>
      </c>
      <c r="AR68" s="38"/>
      <c r="AS68" s="38"/>
      <c r="AT68" s="2"/>
      <c r="AU68" s="2"/>
    </row>
    <row r="69" spans="1:47" ht="15" customHeight="1" x14ac:dyDescent="0.25">
      <c r="A69" s="21" t="s">
        <v>150</v>
      </c>
      <c r="B69" s="4">
        <v>22036000</v>
      </c>
      <c r="C69" s="4">
        <v>0</v>
      </c>
      <c r="D69" s="4"/>
      <c r="E69" s="4">
        <f t="shared" si="72"/>
        <v>0</v>
      </c>
      <c r="F69" s="4">
        <f>+'202401anual'!D109</f>
        <v>0</v>
      </c>
      <c r="G69" s="4"/>
      <c r="H69" s="4">
        <f t="shared" si="73"/>
        <v>0</v>
      </c>
      <c r="I69" s="4"/>
      <c r="J69" s="4"/>
      <c r="K69" s="4">
        <f t="shared" si="90"/>
        <v>0</v>
      </c>
      <c r="L69" s="4"/>
      <c r="M69" s="4"/>
      <c r="N69" s="4">
        <f t="shared" si="91"/>
        <v>0</v>
      </c>
      <c r="O69" s="4"/>
      <c r="P69" s="4"/>
      <c r="Q69" s="4">
        <f t="shared" si="92"/>
        <v>0</v>
      </c>
      <c r="R69" s="4"/>
      <c r="S69" s="4"/>
      <c r="T69" s="4">
        <f t="shared" si="93"/>
        <v>0</v>
      </c>
      <c r="U69" s="4"/>
      <c r="V69" s="4"/>
      <c r="W69" s="4">
        <f t="shared" si="94"/>
        <v>0</v>
      </c>
      <c r="X69" s="4"/>
      <c r="Y69" s="4"/>
      <c r="Z69" s="4">
        <f t="shared" si="95"/>
        <v>0</v>
      </c>
      <c r="AA69" s="4">
        <f>+'202401anual'!K109</f>
        <v>0</v>
      </c>
      <c r="AB69" s="4"/>
      <c r="AC69" s="4">
        <f t="shared" si="96"/>
        <v>0</v>
      </c>
      <c r="AD69" s="4"/>
      <c r="AE69" s="4"/>
      <c r="AF69" s="4">
        <f t="shared" si="81"/>
        <v>0</v>
      </c>
      <c r="AG69" s="4">
        <f>+'202401anual'!M109</f>
        <v>0</v>
      </c>
      <c r="AH69" s="4"/>
      <c r="AI69" s="4">
        <f t="shared" si="82"/>
        <v>0</v>
      </c>
      <c r="AJ69" s="4">
        <f>+'202401anual'!N109</f>
        <v>0</v>
      </c>
      <c r="AK69" s="4"/>
      <c r="AL69" s="4">
        <f t="shared" si="83"/>
        <v>0</v>
      </c>
      <c r="AM69" s="4">
        <f t="shared" si="97"/>
        <v>0</v>
      </c>
      <c r="AN69" s="4">
        <f t="shared" si="98"/>
        <v>0</v>
      </c>
      <c r="AO69" s="4">
        <f t="shared" si="99"/>
        <v>0</v>
      </c>
      <c r="AP69" s="43" t="e">
        <f t="shared" si="100"/>
        <v>#DIV/0!</v>
      </c>
      <c r="AQ69" s="34">
        <f t="shared" si="16"/>
        <v>-22036000</v>
      </c>
      <c r="AR69" s="38"/>
      <c r="AS69" s="38"/>
      <c r="AT69" s="2"/>
      <c r="AU69" s="2"/>
    </row>
    <row r="70" spans="1:47" x14ac:dyDescent="0.25">
      <c r="A70" s="21" t="s">
        <v>82</v>
      </c>
      <c r="B70" s="4">
        <v>27264000</v>
      </c>
      <c r="C70" s="4">
        <v>0</v>
      </c>
      <c r="D70" s="4">
        <v>0</v>
      </c>
      <c r="E70" s="4">
        <f t="shared" si="72"/>
        <v>0</v>
      </c>
      <c r="F70" s="4">
        <f>+'202401anual'!D110</f>
        <v>0</v>
      </c>
      <c r="G70" s="4"/>
      <c r="H70" s="4">
        <f t="shared" si="73"/>
        <v>0</v>
      </c>
      <c r="I70" s="4"/>
      <c r="J70" s="4"/>
      <c r="K70" s="4">
        <f t="shared" si="90"/>
        <v>0</v>
      </c>
      <c r="L70" s="4"/>
      <c r="M70" s="4"/>
      <c r="N70" s="4">
        <f t="shared" si="91"/>
        <v>0</v>
      </c>
      <c r="O70" s="4"/>
      <c r="P70" s="4"/>
      <c r="Q70" s="4">
        <f t="shared" si="92"/>
        <v>0</v>
      </c>
      <c r="R70" s="4"/>
      <c r="S70" s="4">
        <v>0</v>
      </c>
      <c r="T70" s="4">
        <f t="shared" si="93"/>
        <v>0</v>
      </c>
      <c r="U70" s="4"/>
      <c r="V70" s="4"/>
      <c r="W70" s="4">
        <f t="shared" si="94"/>
        <v>0</v>
      </c>
      <c r="X70" s="4"/>
      <c r="Y70" s="4"/>
      <c r="Z70" s="4">
        <f t="shared" si="95"/>
        <v>0</v>
      </c>
      <c r="AA70" s="4"/>
      <c r="AB70" s="4"/>
      <c r="AC70" s="4">
        <f t="shared" si="96"/>
        <v>0</v>
      </c>
      <c r="AD70" s="4"/>
      <c r="AE70" s="4"/>
      <c r="AF70" s="4">
        <f t="shared" si="81"/>
        <v>0</v>
      </c>
      <c r="AG70" s="4"/>
      <c r="AH70" s="4"/>
      <c r="AI70" s="4">
        <f t="shared" si="82"/>
        <v>0</v>
      </c>
      <c r="AJ70" s="4"/>
      <c r="AK70" s="4"/>
      <c r="AL70" s="4">
        <f t="shared" si="83"/>
        <v>0</v>
      </c>
      <c r="AM70" s="4">
        <f t="shared" si="97"/>
        <v>0</v>
      </c>
      <c r="AN70" s="4">
        <f t="shared" si="98"/>
        <v>0</v>
      </c>
      <c r="AO70" s="4">
        <f t="shared" si="99"/>
        <v>0</v>
      </c>
      <c r="AP70" s="43" t="e">
        <f t="shared" si="100"/>
        <v>#DIV/0!</v>
      </c>
      <c r="AQ70" s="34">
        <f t="shared" si="16"/>
        <v>-27264000</v>
      </c>
      <c r="AR70" s="38"/>
      <c r="AS70" s="38"/>
      <c r="AT70" s="2"/>
      <c r="AU70" s="2"/>
    </row>
    <row r="71" spans="1:47" ht="15" customHeight="1" x14ac:dyDescent="0.25">
      <c r="A71" s="21" t="s">
        <v>81</v>
      </c>
      <c r="B71" s="4">
        <v>0</v>
      </c>
      <c r="C71" s="4">
        <v>0</v>
      </c>
      <c r="D71" s="4"/>
      <c r="E71" s="4">
        <f t="shared" si="72"/>
        <v>0</v>
      </c>
      <c r="F71" s="4">
        <v>0</v>
      </c>
      <c r="G71" s="4"/>
      <c r="H71" s="4">
        <f t="shared" si="73"/>
        <v>0</v>
      </c>
      <c r="I71" s="4"/>
      <c r="J71" s="4"/>
      <c r="K71" s="4">
        <f t="shared" si="90"/>
        <v>0</v>
      </c>
      <c r="L71" s="4"/>
      <c r="M71" s="4"/>
      <c r="N71" s="4">
        <f t="shared" si="91"/>
        <v>0</v>
      </c>
      <c r="O71" s="4"/>
      <c r="P71" s="4"/>
      <c r="Q71" s="4">
        <f t="shared" si="92"/>
        <v>0</v>
      </c>
      <c r="R71" s="4"/>
      <c r="S71" s="4"/>
      <c r="T71" s="4">
        <f t="shared" si="93"/>
        <v>0</v>
      </c>
      <c r="U71" s="4"/>
      <c r="V71" s="4"/>
      <c r="W71" s="4">
        <f t="shared" si="94"/>
        <v>0</v>
      </c>
      <c r="X71" s="4"/>
      <c r="Y71" s="4"/>
      <c r="Z71" s="4">
        <f t="shared" si="95"/>
        <v>0</v>
      </c>
      <c r="AA71" s="4">
        <v>0</v>
      </c>
      <c r="AB71" s="4"/>
      <c r="AC71" s="4">
        <f t="shared" si="96"/>
        <v>0</v>
      </c>
      <c r="AD71" s="4">
        <v>0</v>
      </c>
      <c r="AE71" s="4"/>
      <c r="AF71" s="4">
        <f t="shared" si="81"/>
        <v>0</v>
      </c>
      <c r="AG71" s="4">
        <v>0</v>
      </c>
      <c r="AH71" s="4"/>
      <c r="AI71" s="4">
        <f t="shared" si="82"/>
        <v>0</v>
      </c>
      <c r="AJ71" s="4">
        <v>0</v>
      </c>
      <c r="AK71" s="4"/>
      <c r="AL71" s="4">
        <f t="shared" si="83"/>
        <v>0</v>
      </c>
      <c r="AM71" s="4">
        <f t="shared" si="97"/>
        <v>0</v>
      </c>
      <c r="AN71" s="4">
        <f t="shared" si="98"/>
        <v>0</v>
      </c>
      <c r="AO71" s="4">
        <f t="shared" si="99"/>
        <v>0</v>
      </c>
      <c r="AP71" s="43" t="e">
        <f t="shared" si="100"/>
        <v>#DIV/0!</v>
      </c>
      <c r="AQ71" s="34">
        <f t="shared" si="16"/>
        <v>0</v>
      </c>
      <c r="AR71" s="38"/>
      <c r="AS71" s="38"/>
      <c r="AT71" s="2"/>
      <c r="AU71" s="2"/>
    </row>
    <row r="72" spans="1:47" ht="15" customHeight="1" x14ac:dyDescent="0.25">
      <c r="A72" s="21" t="s">
        <v>78</v>
      </c>
      <c r="B72" s="4">
        <v>3000000</v>
      </c>
      <c r="C72" s="4">
        <v>250000</v>
      </c>
      <c r="D72" s="4">
        <v>7900</v>
      </c>
      <c r="E72" s="4">
        <f t="shared" si="72"/>
        <v>242100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>
        <f t="shared" si="97"/>
        <v>250000</v>
      </c>
      <c r="AN72" s="4">
        <f t="shared" si="98"/>
        <v>7900</v>
      </c>
      <c r="AO72" s="4">
        <f t="shared" si="99"/>
        <v>242100</v>
      </c>
      <c r="AP72" s="43">
        <f t="shared" si="100"/>
        <v>96.84</v>
      </c>
      <c r="AQ72" s="34"/>
      <c r="AR72" s="38"/>
      <c r="AS72" s="38"/>
      <c r="AT72" s="2"/>
      <c r="AU72" s="2"/>
    </row>
    <row r="73" spans="1:47" ht="15" customHeight="1" x14ac:dyDescent="0.25">
      <c r="A73" s="21" t="s">
        <v>148</v>
      </c>
      <c r="B73" s="4">
        <v>80000000</v>
      </c>
      <c r="C73" s="4">
        <v>0</v>
      </c>
      <c r="D73" s="4"/>
      <c r="E73" s="4">
        <f t="shared" si="72"/>
        <v>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7"/>
        <v>0</v>
      </c>
      <c r="AN73" s="4">
        <f t="shared" si="98"/>
        <v>0</v>
      </c>
      <c r="AO73" s="4">
        <f t="shared" si="99"/>
        <v>0</v>
      </c>
      <c r="AP73" s="43" t="e">
        <f t="shared" si="100"/>
        <v>#DIV/0!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149</v>
      </c>
      <c r="B74" s="4">
        <v>19000000</v>
      </c>
      <c r="C74" s="4">
        <v>0</v>
      </c>
      <c r="D74" s="4"/>
      <c r="E74" s="4">
        <f t="shared" si="72"/>
        <v>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7"/>
        <v>0</v>
      </c>
      <c r="AN74" s="4">
        <f t="shared" si="98"/>
        <v>0</v>
      </c>
      <c r="AO74" s="4">
        <f t="shared" si="99"/>
        <v>0</v>
      </c>
      <c r="AP74" s="43" t="e">
        <f t="shared" si="100"/>
        <v>#DIV/0!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187</v>
      </c>
      <c r="B75" s="4">
        <v>12500000</v>
      </c>
      <c r="C75" s="4">
        <v>7000000</v>
      </c>
      <c r="D75" s="4">
        <v>2166666</v>
      </c>
      <c r="E75" s="4">
        <f t="shared" si="72"/>
        <v>4833334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7"/>
        <v>7000000</v>
      </c>
      <c r="AN75" s="4">
        <f t="shared" si="98"/>
        <v>2166666</v>
      </c>
      <c r="AO75" s="4">
        <f t="shared" si="99"/>
        <v>4833334</v>
      </c>
      <c r="AP75" s="43">
        <f t="shared" si="100"/>
        <v>69.047628571428575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33</v>
      </c>
      <c r="B76" s="4">
        <v>9825000</v>
      </c>
      <c r="C76" s="4">
        <v>0</v>
      </c>
      <c r="D76" s="4"/>
      <c r="E76" s="4">
        <f t="shared" si="72"/>
        <v>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7"/>
        <v>0</v>
      </c>
      <c r="AN76" s="4">
        <f t="shared" si="98"/>
        <v>0</v>
      </c>
      <c r="AO76" s="4">
        <f t="shared" si="99"/>
        <v>0</v>
      </c>
      <c r="AP76" s="43" t="e">
        <f t="shared" si="100"/>
        <v>#DIV/0!</v>
      </c>
      <c r="AQ76" s="34"/>
      <c r="AR76" s="38"/>
      <c r="AS76" s="38"/>
      <c r="AT76" s="2"/>
      <c r="AU76" s="2"/>
    </row>
    <row r="77" spans="1:47" ht="15" customHeight="1" x14ac:dyDescent="0.25">
      <c r="A77" s="5" t="s">
        <v>68</v>
      </c>
      <c r="B77" s="4">
        <v>48000000</v>
      </c>
      <c r="C77" s="4">
        <v>4000000</v>
      </c>
      <c r="D77" s="4">
        <v>5711400</v>
      </c>
      <c r="E77" s="4">
        <f t="shared" si="72"/>
        <v>-1711400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7"/>
        <v>4000000</v>
      </c>
      <c r="AN77" s="4">
        <f t="shared" si="98"/>
        <v>5711400</v>
      </c>
      <c r="AO77" s="4">
        <f t="shared" si="99"/>
        <v>-1711400</v>
      </c>
      <c r="AP77" s="43">
        <f t="shared" si="100"/>
        <v>-42.785000000000004</v>
      </c>
      <c r="AQ77" s="34"/>
      <c r="AR77" s="38"/>
      <c r="AS77" s="38"/>
      <c r="AT77" s="2"/>
      <c r="AU77" s="2"/>
    </row>
    <row r="78" spans="1:47" ht="15" customHeight="1" x14ac:dyDescent="0.25">
      <c r="A78" s="5" t="s">
        <v>86</v>
      </c>
      <c r="B78" s="4">
        <v>39052465</v>
      </c>
      <c r="C78" s="4">
        <v>3254372.0833333335</v>
      </c>
      <c r="D78" s="4">
        <v>2267882</v>
      </c>
      <c r="E78" s="4">
        <f t="shared" si="72"/>
        <v>986490.08333333349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7"/>
        <v>3254372.0833333335</v>
      </c>
      <c r="AN78" s="4">
        <f t="shared" si="98"/>
        <v>2267882</v>
      </c>
      <c r="AO78" s="4">
        <f t="shared" si="99"/>
        <v>986490.08333333349</v>
      </c>
      <c r="AP78" s="43">
        <f t="shared" si="100"/>
        <v>30.312762587457669</v>
      </c>
      <c r="AQ78" s="34"/>
      <c r="AR78" s="38"/>
      <c r="AS78" s="38"/>
      <c r="AT78" s="2"/>
      <c r="AU78" s="2"/>
    </row>
    <row r="79" spans="1:47" ht="15" customHeight="1" x14ac:dyDescent="0.25">
      <c r="A79" s="5" t="s">
        <v>76</v>
      </c>
      <c r="B79" s="4">
        <v>9000000</v>
      </c>
      <c r="C79" s="4">
        <v>0</v>
      </c>
      <c r="D79" s="4"/>
      <c r="E79" s="4">
        <f t="shared" si="72"/>
        <v>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7"/>
        <v>0</v>
      </c>
      <c r="AN79" s="4">
        <f t="shared" si="98"/>
        <v>0</v>
      </c>
      <c r="AO79" s="4">
        <f t="shared" si="99"/>
        <v>0</v>
      </c>
      <c r="AP79" s="43" t="e">
        <f t="shared" si="100"/>
        <v>#DIV/0!</v>
      </c>
      <c r="AQ79" s="34"/>
      <c r="AR79" s="38"/>
      <c r="AS79" s="38"/>
      <c r="AT79" s="2"/>
      <c r="AU79" s="2"/>
    </row>
    <row r="80" spans="1:47" ht="15" customHeight="1" x14ac:dyDescent="0.25">
      <c r="A80" s="5" t="s">
        <v>61</v>
      </c>
      <c r="B80" s="4">
        <v>10000000</v>
      </c>
      <c r="C80" s="4">
        <v>0</v>
      </c>
      <c r="D80" s="4"/>
      <c r="E80" s="4">
        <f t="shared" si="72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7"/>
        <v>0</v>
      </c>
      <c r="AN80" s="4">
        <f t="shared" si="98"/>
        <v>0</v>
      </c>
      <c r="AO80" s="4">
        <f t="shared" si="99"/>
        <v>0</v>
      </c>
      <c r="AP80" s="43" t="e">
        <f t="shared" si="100"/>
        <v>#DIV/0!</v>
      </c>
      <c r="AQ80" s="34"/>
      <c r="AR80" s="38"/>
      <c r="AS80" s="38"/>
      <c r="AT80" s="2"/>
      <c r="AU80" s="2"/>
    </row>
    <row r="81" spans="1:47" ht="15" customHeight="1" x14ac:dyDescent="0.25">
      <c r="A81" s="5" t="s">
        <v>147</v>
      </c>
      <c r="B81" s="4">
        <v>137548000</v>
      </c>
      <c r="C81" s="4">
        <v>8200000</v>
      </c>
      <c r="D81" s="4">
        <v>230257</v>
      </c>
      <c r="E81" s="4">
        <f t="shared" si="72"/>
        <v>7969743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7"/>
        <v>8200000</v>
      </c>
      <c r="AN81" s="4">
        <f t="shared" si="98"/>
        <v>230257</v>
      </c>
      <c r="AO81" s="4">
        <f t="shared" si="99"/>
        <v>7969743</v>
      </c>
      <c r="AP81" s="43">
        <f t="shared" si="100"/>
        <v>97.191987804878039</v>
      </c>
      <c r="AQ81" s="34"/>
      <c r="AR81" s="38"/>
      <c r="AS81" s="38"/>
      <c r="AT81" s="2"/>
      <c r="AU81" s="2"/>
    </row>
    <row r="82" spans="1:47" ht="15" customHeight="1" x14ac:dyDescent="0.25">
      <c r="A82" s="5" t="s">
        <v>83</v>
      </c>
      <c r="B82" s="4">
        <v>6000000</v>
      </c>
      <c r="C82" s="4">
        <v>500000</v>
      </c>
      <c r="D82" s="4"/>
      <c r="E82" s="4">
        <f t="shared" si="72"/>
        <v>500000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7"/>
        <v>500000</v>
      </c>
      <c r="AN82" s="4">
        <f t="shared" si="98"/>
        <v>0</v>
      </c>
      <c r="AO82" s="4">
        <f t="shared" si="99"/>
        <v>500000</v>
      </c>
      <c r="AP82" s="43">
        <f t="shared" si="100"/>
        <v>100</v>
      </c>
      <c r="AQ82" s="34"/>
      <c r="AR82" s="38"/>
      <c r="AS82" s="38"/>
      <c r="AT82" s="2"/>
      <c r="AU82" s="2"/>
    </row>
    <row r="83" spans="1:47" ht="15" customHeight="1" x14ac:dyDescent="0.25">
      <c r="A83" s="5" t="s">
        <v>56</v>
      </c>
      <c r="B83" s="4">
        <v>18100000</v>
      </c>
      <c r="C83" s="4">
        <v>1508333.3333333333</v>
      </c>
      <c r="D83" s="4"/>
      <c r="E83" s="4">
        <f t="shared" si="72"/>
        <v>1508333.3333333333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7"/>
        <v>1508333.3333333333</v>
      </c>
      <c r="AN83" s="4">
        <f t="shared" si="98"/>
        <v>0</v>
      </c>
      <c r="AO83" s="4">
        <f t="shared" si="99"/>
        <v>1508333.3333333333</v>
      </c>
      <c r="AP83" s="43">
        <f t="shared" si="100"/>
        <v>100</v>
      </c>
      <c r="AQ83" s="34"/>
      <c r="AR83" s="38"/>
      <c r="AS83" s="38"/>
      <c r="AT83" s="2"/>
      <c r="AU83" s="2"/>
    </row>
    <row r="84" spans="1:47" ht="15" customHeight="1" x14ac:dyDescent="0.25">
      <c r="A84" s="5" t="s">
        <v>38</v>
      </c>
      <c r="B84" s="4">
        <v>29568000</v>
      </c>
      <c r="C84" s="4">
        <v>2464000</v>
      </c>
      <c r="D84" s="4">
        <v>2600000</v>
      </c>
      <c r="E84" s="4">
        <f t="shared" si="72"/>
        <v>-136000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7"/>
        <v>2464000</v>
      </c>
      <c r="AN84" s="4">
        <f t="shared" si="98"/>
        <v>2600000</v>
      </c>
      <c r="AO84" s="4">
        <f t="shared" si="99"/>
        <v>-136000</v>
      </c>
      <c r="AP84" s="43">
        <f t="shared" si="100"/>
        <v>-5.5194805194805197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39</v>
      </c>
      <c r="B85" s="4">
        <v>764736000.00000012</v>
      </c>
      <c r="C85" s="4">
        <v>63728000</v>
      </c>
      <c r="D85" s="4">
        <f>3410000+41074933</f>
        <v>44484933</v>
      </c>
      <c r="E85" s="4">
        <f t="shared" si="72"/>
        <v>19243067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7"/>
        <v>63728000</v>
      </c>
      <c r="AN85" s="4">
        <f t="shared" si="98"/>
        <v>44484933</v>
      </c>
      <c r="AO85" s="4">
        <f t="shared" si="99"/>
        <v>19243067</v>
      </c>
      <c r="AP85" s="43">
        <f t="shared" si="100"/>
        <v>30.195623587747928</v>
      </c>
      <c r="AQ85" s="34"/>
      <c r="AR85" s="38"/>
      <c r="AS85" s="38"/>
      <c r="AT85" s="2"/>
      <c r="AU85" s="2"/>
    </row>
    <row r="86" spans="1:47" ht="15" customHeight="1" x14ac:dyDescent="0.25">
      <c r="A86" s="12" t="s">
        <v>188</v>
      </c>
      <c r="B86" s="8">
        <f>SUM(B51:B85)</f>
        <v>2390697416.1100512</v>
      </c>
      <c r="C86" s="8">
        <f t="shared" ref="C86:AO86" si="101">SUM(C51:C85)</f>
        <v>152504284.67583761</v>
      </c>
      <c r="D86" s="8">
        <f>SUM(D51:D85)</f>
        <v>101318002.707</v>
      </c>
      <c r="E86" s="8">
        <f t="shared" si="101"/>
        <v>51186281.968837604</v>
      </c>
      <c r="F86" s="8">
        <f t="shared" si="101"/>
        <v>0</v>
      </c>
      <c r="G86" s="8">
        <f t="shared" si="101"/>
        <v>0</v>
      </c>
      <c r="H86" s="8">
        <f t="shared" si="101"/>
        <v>0</v>
      </c>
      <c r="I86" s="8">
        <f t="shared" si="101"/>
        <v>0</v>
      </c>
      <c r="J86" s="8">
        <f t="shared" si="101"/>
        <v>0</v>
      </c>
      <c r="K86" s="8">
        <f t="shared" si="101"/>
        <v>0</v>
      </c>
      <c r="L86" s="8">
        <f t="shared" si="101"/>
        <v>0</v>
      </c>
      <c r="M86" s="8">
        <f t="shared" si="101"/>
        <v>0</v>
      </c>
      <c r="N86" s="8">
        <f t="shared" si="101"/>
        <v>0</v>
      </c>
      <c r="O86" s="8">
        <f t="shared" si="101"/>
        <v>0</v>
      </c>
      <c r="P86" s="8">
        <f t="shared" si="101"/>
        <v>0</v>
      </c>
      <c r="Q86" s="8">
        <f t="shared" si="101"/>
        <v>0</v>
      </c>
      <c r="R86" s="8">
        <f t="shared" si="101"/>
        <v>0</v>
      </c>
      <c r="S86" s="8">
        <f t="shared" si="101"/>
        <v>0</v>
      </c>
      <c r="T86" s="8">
        <f t="shared" si="101"/>
        <v>0</v>
      </c>
      <c r="U86" s="8">
        <f t="shared" si="101"/>
        <v>0</v>
      </c>
      <c r="V86" s="8">
        <f t="shared" si="101"/>
        <v>0</v>
      </c>
      <c r="W86" s="8">
        <f t="shared" si="101"/>
        <v>0</v>
      </c>
      <c r="X86" s="8">
        <f t="shared" si="101"/>
        <v>0</v>
      </c>
      <c r="Y86" s="8">
        <f t="shared" si="101"/>
        <v>0</v>
      </c>
      <c r="Z86" s="8">
        <f t="shared" si="101"/>
        <v>0</v>
      </c>
      <c r="AA86" s="8">
        <f t="shared" si="101"/>
        <v>0</v>
      </c>
      <c r="AB86" s="8">
        <f t="shared" si="101"/>
        <v>0</v>
      </c>
      <c r="AC86" s="8">
        <f t="shared" si="101"/>
        <v>0</v>
      </c>
      <c r="AD86" s="8">
        <f t="shared" si="101"/>
        <v>0</v>
      </c>
      <c r="AE86" s="8">
        <f t="shared" si="101"/>
        <v>0</v>
      </c>
      <c r="AF86" s="8">
        <f t="shared" si="101"/>
        <v>0</v>
      </c>
      <c r="AG86" s="8">
        <f t="shared" si="101"/>
        <v>0</v>
      </c>
      <c r="AH86" s="8">
        <f t="shared" si="101"/>
        <v>0</v>
      </c>
      <c r="AI86" s="8">
        <f t="shared" si="101"/>
        <v>0</v>
      </c>
      <c r="AJ86" s="8">
        <f t="shared" si="101"/>
        <v>0</v>
      </c>
      <c r="AK86" s="8">
        <f t="shared" si="101"/>
        <v>0</v>
      </c>
      <c r="AL86" s="8">
        <f t="shared" si="101"/>
        <v>0</v>
      </c>
      <c r="AM86" s="8">
        <f t="shared" si="101"/>
        <v>152504284.67583761</v>
      </c>
      <c r="AN86" s="8">
        <f t="shared" si="101"/>
        <v>101318002.707</v>
      </c>
      <c r="AO86" s="8">
        <f t="shared" si="101"/>
        <v>51186281.968837604</v>
      </c>
      <c r="AP86" s="31">
        <f>+AO86/AM86</f>
        <v>0.33563832044220215</v>
      </c>
      <c r="AQ86" s="34"/>
      <c r="AR86" s="38"/>
      <c r="AS86" s="38"/>
      <c r="AT86" s="2"/>
      <c r="AU86" s="2"/>
    </row>
    <row r="87" spans="1:47" ht="15" hidden="1" customHeight="1" x14ac:dyDescent="0.25">
      <c r="A87" s="5"/>
      <c r="B87" s="77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>
        <f t="shared" si="97"/>
        <v>0</v>
      </c>
      <c r="AN87" s="4"/>
      <c r="AO87" s="4"/>
      <c r="AP87" s="43"/>
      <c r="AQ87" s="34"/>
      <c r="AR87" s="38"/>
      <c r="AS87" s="38"/>
      <c r="AT87" s="2"/>
      <c r="AU87" s="2"/>
    </row>
    <row r="88" spans="1:47" x14ac:dyDescent="0.25">
      <c r="A88" s="5" t="str">
        <f>+'202401anual'!A122</f>
        <v>Reforestacion</v>
      </c>
      <c r="B88" s="4">
        <v>30000000</v>
      </c>
      <c r="C88" s="4">
        <v>0</v>
      </c>
      <c r="D88" s="4"/>
      <c r="E88" s="4">
        <f t="shared" si="72"/>
        <v>0</v>
      </c>
      <c r="F88" s="4">
        <f>+'202401anual'!D111</f>
        <v>0</v>
      </c>
      <c r="G88" s="4"/>
      <c r="H88" s="4">
        <f t="shared" si="73"/>
        <v>0</v>
      </c>
      <c r="I88" s="4"/>
      <c r="J88" s="4"/>
      <c r="K88" s="4">
        <f t="shared" si="90"/>
        <v>0</v>
      </c>
      <c r="L88" s="4"/>
      <c r="M88" s="4">
        <v>0</v>
      </c>
      <c r="N88" s="4">
        <f t="shared" si="91"/>
        <v>0</v>
      </c>
      <c r="O88" s="4">
        <f>+'202401anual'!G111</f>
        <v>0</v>
      </c>
      <c r="P88" s="4">
        <v>0</v>
      </c>
      <c r="Q88" s="4">
        <f t="shared" si="92"/>
        <v>0</v>
      </c>
      <c r="R88" s="4"/>
      <c r="S88" s="4">
        <v>0</v>
      </c>
      <c r="T88" s="4">
        <f t="shared" si="93"/>
        <v>0</v>
      </c>
      <c r="U88" s="4"/>
      <c r="V88" s="4"/>
      <c r="W88" s="4">
        <f t="shared" si="94"/>
        <v>0</v>
      </c>
      <c r="X88" s="4"/>
      <c r="Y88" s="4"/>
      <c r="Z88" s="4">
        <f t="shared" si="95"/>
        <v>0</v>
      </c>
      <c r="AA88" s="4">
        <f>+'202401anual'!K111</f>
        <v>0</v>
      </c>
      <c r="AB88" s="4"/>
      <c r="AC88" s="4">
        <f t="shared" si="96"/>
        <v>0</v>
      </c>
      <c r="AD88" s="4">
        <f>+'202401anual'!L111</f>
        <v>0</v>
      </c>
      <c r="AE88" s="4"/>
      <c r="AF88" s="4">
        <f t="shared" si="81"/>
        <v>0</v>
      </c>
      <c r="AG88" s="4"/>
      <c r="AH88" s="4"/>
      <c r="AI88" s="4">
        <f t="shared" si="82"/>
        <v>0</v>
      </c>
      <c r="AJ88" s="4"/>
      <c r="AK88" s="4"/>
      <c r="AL88" s="4">
        <f t="shared" si="83"/>
        <v>0</v>
      </c>
      <c r="AM88" s="4">
        <f t="shared" si="97"/>
        <v>0</v>
      </c>
      <c r="AN88" s="4">
        <f t="shared" si="98"/>
        <v>0</v>
      </c>
      <c r="AO88" s="4">
        <f t="shared" ref="AO88:AO96" si="102">+AM88-AN88</f>
        <v>0</v>
      </c>
      <c r="AP88" s="43" t="e">
        <f t="shared" si="100"/>
        <v>#DIV/0!</v>
      </c>
      <c r="AQ88" s="34">
        <f t="shared" si="16"/>
        <v>-30000000</v>
      </c>
      <c r="AR88" s="38"/>
      <c r="AS88" s="38"/>
      <c r="AT88" s="2"/>
      <c r="AU88" s="2"/>
    </row>
    <row r="89" spans="1:47" x14ac:dyDescent="0.25">
      <c r="A89" s="5" t="str">
        <f>+'202401anual'!A123</f>
        <v>CRETIB</v>
      </c>
      <c r="B89" s="4">
        <v>24000000</v>
      </c>
      <c r="C89" s="4">
        <v>0</v>
      </c>
      <c r="D89" s="4"/>
      <c r="E89" s="4">
        <f t="shared" si="72"/>
        <v>0</v>
      </c>
      <c r="F89" s="4"/>
      <c r="G89" s="4"/>
      <c r="H89" s="4">
        <f t="shared" si="73"/>
        <v>0</v>
      </c>
      <c r="I89" s="4"/>
      <c r="J89" s="4"/>
      <c r="K89" s="4">
        <f t="shared" si="90"/>
        <v>0</v>
      </c>
      <c r="L89" s="4"/>
      <c r="M89" s="4"/>
      <c r="N89" s="4">
        <f t="shared" si="91"/>
        <v>0</v>
      </c>
      <c r="O89" s="4">
        <f>+'202401anual'!G112</f>
        <v>0</v>
      </c>
      <c r="P89" s="4">
        <v>0</v>
      </c>
      <c r="Q89" s="4">
        <f t="shared" si="92"/>
        <v>0</v>
      </c>
      <c r="R89" s="4"/>
      <c r="S89" s="4">
        <v>0</v>
      </c>
      <c r="T89" s="4">
        <f t="shared" si="93"/>
        <v>0</v>
      </c>
      <c r="U89" s="4"/>
      <c r="V89" s="4"/>
      <c r="W89" s="4">
        <f t="shared" si="94"/>
        <v>0</v>
      </c>
      <c r="X89" s="4"/>
      <c r="Y89" s="4"/>
      <c r="Z89" s="4">
        <f t="shared" si="95"/>
        <v>0</v>
      </c>
      <c r="AA89" s="4">
        <f>+'202401anual'!K112</f>
        <v>0</v>
      </c>
      <c r="AB89" s="4"/>
      <c r="AC89" s="4">
        <f t="shared" si="96"/>
        <v>0</v>
      </c>
      <c r="AD89" s="4"/>
      <c r="AE89" s="4">
        <v>0</v>
      </c>
      <c r="AF89" s="4">
        <f t="shared" si="81"/>
        <v>0</v>
      </c>
      <c r="AG89" s="4"/>
      <c r="AH89" s="4"/>
      <c r="AI89" s="4">
        <f t="shared" si="82"/>
        <v>0</v>
      </c>
      <c r="AJ89" s="4"/>
      <c r="AK89" s="4"/>
      <c r="AL89" s="4">
        <f t="shared" si="83"/>
        <v>0</v>
      </c>
      <c r="AM89" s="4">
        <f t="shared" si="97"/>
        <v>0</v>
      </c>
      <c r="AN89" s="4">
        <f t="shared" si="98"/>
        <v>0</v>
      </c>
      <c r="AO89" s="4">
        <f t="shared" si="102"/>
        <v>0</v>
      </c>
      <c r="AP89" s="43" t="e">
        <f t="shared" si="100"/>
        <v>#DIV/0!</v>
      </c>
      <c r="AQ89" s="34">
        <f t="shared" si="16"/>
        <v>-24000000</v>
      </c>
      <c r="AR89" s="38"/>
      <c r="AS89" s="38"/>
      <c r="AT89" s="2"/>
      <c r="AU89" s="2"/>
    </row>
    <row r="90" spans="1:47" x14ac:dyDescent="0.25">
      <c r="A90" s="5" t="str">
        <f>+'202401anual'!A124</f>
        <v>Limpieza de cuencas</v>
      </c>
      <c r="B90" s="4">
        <v>10000000</v>
      </c>
      <c r="C90" s="4">
        <v>0</v>
      </c>
      <c r="D90" s="4"/>
      <c r="E90" s="4">
        <f t="shared" si="72"/>
        <v>0</v>
      </c>
      <c r="F90" s="4"/>
      <c r="G90" s="4"/>
      <c r="H90" s="4">
        <f t="shared" si="73"/>
        <v>0</v>
      </c>
      <c r="I90" s="4"/>
      <c r="J90" s="4"/>
      <c r="K90" s="4">
        <f t="shared" si="90"/>
        <v>0</v>
      </c>
      <c r="L90" s="4">
        <f>+'202401anual'!F113</f>
        <v>0</v>
      </c>
      <c r="M90" s="4"/>
      <c r="N90" s="4">
        <f t="shared" si="91"/>
        <v>0</v>
      </c>
      <c r="O90" s="4"/>
      <c r="P90" s="4">
        <v>0</v>
      </c>
      <c r="Q90" s="4">
        <f t="shared" si="92"/>
        <v>0</v>
      </c>
      <c r="R90" s="4"/>
      <c r="S90" s="4">
        <v>0</v>
      </c>
      <c r="T90" s="4">
        <f t="shared" si="93"/>
        <v>0</v>
      </c>
      <c r="U90" s="4"/>
      <c r="V90" s="4"/>
      <c r="W90" s="4">
        <f t="shared" si="94"/>
        <v>0</v>
      </c>
      <c r="X90" s="4"/>
      <c r="Y90" s="4"/>
      <c r="Z90" s="4">
        <f t="shared" si="95"/>
        <v>0</v>
      </c>
      <c r="AA90" s="4">
        <f>+'202401anual'!K113</f>
        <v>0</v>
      </c>
      <c r="AB90" s="4"/>
      <c r="AC90" s="4">
        <f t="shared" si="96"/>
        <v>0</v>
      </c>
      <c r="AD90" s="4"/>
      <c r="AE90" s="4"/>
      <c r="AF90" s="4">
        <f t="shared" si="81"/>
        <v>0</v>
      </c>
      <c r="AG90" s="4"/>
      <c r="AH90" s="4"/>
      <c r="AI90" s="4">
        <f t="shared" si="82"/>
        <v>0</v>
      </c>
      <c r="AJ90" s="4"/>
      <c r="AK90" s="4"/>
      <c r="AL90" s="4">
        <f t="shared" si="83"/>
        <v>0</v>
      </c>
      <c r="AM90" s="4">
        <f t="shared" si="97"/>
        <v>0</v>
      </c>
      <c r="AN90" s="4">
        <f t="shared" si="98"/>
        <v>0</v>
      </c>
      <c r="AO90" s="4">
        <f t="shared" si="102"/>
        <v>0</v>
      </c>
      <c r="AP90" s="43" t="e">
        <f t="shared" si="100"/>
        <v>#DIV/0!</v>
      </c>
      <c r="AQ90" s="34">
        <f t="shared" si="16"/>
        <v>-10000000</v>
      </c>
      <c r="AR90" s="38"/>
      <c r="AS90" s="38"/>
      <c r="AT90" s="2"/>
      <c r="AU90" s="2"/>
    </row>
    <row r="91" spans="1:47" x14ac:dyDescent="0.25">
      <c r="A91" s="5" t="str">
        <f>+'202401anual'!A125</f>
        <v>Permiso de vertimiento (alcantarillado)</v>
      </c>
      <c r="B91" s="4">
        <v>10000000</v>
      </c>
      <c r="C91" s="4">
        <v>0</v>
      </c>
      <c r="D91" s="4"/>
      <c r="E91" s="4">
        <f t="shared" si="72"/>
        <v>0</v>
      </c>
      <c r="F91" s="4"/>
      <c r="G91" s="4"/>
      <c r="H91" s="4">
        <f t="shared" si="73"/>
        <v>0</v>
      </c>
      <c r="I91" s="4"/>
      <c r="J91" s="4"/>
      <c r="K91" s="4">
        <f t="shared" si="90"/>
        <v>0</v>
      </c>
      <c r="L91" s="4"/>
      <c r="M91" s="4"/>
      <c r="N91" s="4">
        <f t="shared" si="91"/>
        <v>0</v>
      </c>
      <c r="O91" s="4"/>
      <c r="P91" s="4"/>
      <c r="Q91" s="4">
        <f t="shared" si="92"/>
        <v>0</v>
      </c>
      <c r="R91" s="4"/>
      <c r="S91" s="4"/>
      <c r="T91" s="4">
        <f t="shared" si="93"/>
        <v>0</v>
      </c>
      <c r="U91" s="4"/>
      <c r="V91" s="4"/>
      <c r="W91" s="4">
        <f t="shared" si="94"/>
        <v>0</v>
      </c>
      <c r="X91" s="4"/>
      <c r="Y91" s="4"/>
      <c r="Z91" s="4">
        <f t="shared" si="95"/>
        <v>0</v>
      </c>
      <c r="AA91" s="4"/>
      <c r="AB91" s="4"/>
      <c r="AC91" s="4">
        <f t="shared" si="96"/>
        <v>0</v>
      </c>
      <c r="AD91" s="4"/>
      <c r="AE91" s="4"/>
      <c r="AF91" s="4">
        <f t="shared" si="81"/>
        <v>0</v>
      </c>
      <c r="AG91" s="4"/>
      <c r="AH91" s="4"/>
      <c r="AI91" s="4">
        <f t="shared" si="82"/>
        <v>0</v>
      </c>
      <c r="AJ91" s="4"/>
      <c r="AK91" s="4"/>
      <c r="AL91" s="4">
        <f t="shared" si="83"/>
        <v>0</v>
      </c>
      <c r="AM91" s="4">
        <f t="shared" si="97"/>
        <v>0</v>
      </c>
      <c r="AN91" s="4">
        <f t="shared" si="98"/>
        <v>0</v>
      </c>
      <c r="AO91" s="4">
        <f t="shared" si="102"/>
        <v>0</v>
      </c>
      <c r="AP91" s="43" t="e">
        <f t="shared" si="100"/>
        <v>#DIV/0!</v>
      </c>
      <c r="AQ91" s="34">
        <f t="shared" si="16"/>
        <v>-10000000</v>
      </c>
      <c r="AR91" s="38"/>
      <c r="AS91" s="38"/>
      <c r="AT91" s="2"/>
      <c r="AU91" s="2"/>
    </row>
    <row r="92" spans="1:47" x14ac:dyDescent="0.25">
      <c r="A92" s="5" t="str">
        <f>+'202401anual'!A126</f>
        <v>Permiso de concesión de agua</v>
      </c>
      <c r="B92" s="4">
        <v>10000000</v>
      </c>
      <c r="C92" s="4">
        <v>0</v>
      </c>
      <c r="D92" s="4"/>
      <c r="E92" s="4">
        <f t="shared" si="72"/>
        <v>0</v>
      </c>
      <c r="F92" s="4"/>
      <c r="G92" s="4"/>
      <c r="H92" s="4">
        <f t="shared" si="73"/>
        <v>0</v>
      </c>
      <c r="I92" s="4"/>
      <c r="J92" s="4"/>
      <c r="K92" s="4">
        <f t="shared" si="90"/>
        <v>0</v>
      </c>
      <c r="L92" s="4"/>
      <c r="M92" s="4"/>
      <c r="N92" s="4">
        <f t="shared" si="91"/>
        <v>0</v>
      </c>
      <c r="O92" s="4"/>
      <c r="P92" s="4">
        <v>0</v>
      </c>
      <c r="Q92" s="4">
        <f t="shared" si="92"/>
        <v>0</v>
      </c>
      <c r="R92" s="4"/>
      <c r="S92" s="4"/>
      <c r="T92" s="4">
        <f t="shared" si="93"/>
        <v>0</v>
      </c>
      <c r="U92" s="4"/>
      <c r="V92" s="4"/>
      <c r="W92" s="4">
        <f t="shared" si="94"/>
        <v>0</v>
      </c>
      <c r="X92" s="4"/>
      <c r="Y92" s="4"/>
      <c r="Z92" s="4">
        <f t="shared" si="95"/>
        <v>0</v>
      </c>
      <c r="AA92" s="4"/>
      <c r="AB92" s="4"/>
      <c r="AC92" s="4">
        <f t="shared" si="96"/>
        <v>0</v>
      </c>
      <c r="AD92" s="4"/>
      <c r="AE92" s="4"/>
      <c r="AF92" s="4">
        <f t="shared" si="81"/>
        <v>0</v>
      </c>
      <c r="AG92" s="4"/>
      <c r="AH92" s="4"/>
      <c r="AI92" s="4">
        <f t="shared" si="82"/>
        <v>0</v>
      </c>
      <c r="AJ92" s="4"/>
      <c r="AK92" s="4"/>
      <c r="AL92" s="4">
        <f t="shared" si="83"/>
        <v>0</v>
      </c>
      <c r="AM92" s="4">
        <f t="shared" si="97"/>
        <v>0</v>
      </c>
      <c r="AN92" s="4">
        <f t="shared" si="98"/>
        <v>0</v>
      </c>
      <c r="AO92" s="4">
        <f t="shared" si="102"/>
        <v>0</v>
      </c>
      <c r="AP92" s="43" t="e">
        <f t="shared" si="100"/>
        <v>#DIV/0!</v>
      </c>
      <c r="AQ92" s="34">
        <f t="shared" si="16"/>
        <v>-10000000</v>
      </c>
      <c r="AR92" s="38"/>
      <c r="AS92" s="38"/>
      <c r="AT92" s="2"/>
      <c r="AU92" s="2"/>
    </row>
    <row r="93" spans="1:47" x14ac:dyDescent="0.25">
      <c r="A93" s="5" t="str">
        <f>+'202401anual'!A127</f>
        <v>Vertimiento Acueducto, Tasa Retributiva</v>
      </c>
      <c r="B93" s="4">
        <v>10000000</v>
      </c>
      <c r="C93" s="4">
        <v>0</v>
      </c>
      <c r="D93" s="4"/>
      <c r="E93" s="4">
        <f t="shared" si="72"/>
        <v>0</v>
      </c>
      <c r="F93" s="4"/>
      <c r="G93" s="4"/>
      <c r="H93" s="4">
        <f t="shared" si="73"/>
        <v>0</v>
      </c>
      <c r="I93" s="4"/>
      <c r="J93" s="4"/>
      <c r="K93" s="4">
        <f t="shared" si="90"/>
        <v>0</v>
      </c>
      <c r="L93" s="4"/>
      <c r="M93" s="4"/>
      <c r="N93" s="4">
        <f t="shared" si="91"/>
        <v>0</v>
      </c>
      <c r="O93" s="4"/>
      <c r="P93" s="4">
        <v>0</v>
      </c>
      <c r="Q93" s="4">
        <f t="shared" si="92"/>
        <v>0</v>
      </c>
      <c r="R93" s="4"/>
      <c r="S93" s="4"/>
      <c r="T93" s="4">
        <f t="shared" si="93"/>
        <v>0</v>
      </c>
      <c r="U93" s="4"/>
      <c r="V93" s="4"/>
      <c r="W93" s="4">
        <f t="shared" si="94"/>
        <v>0</v>
      </c>
      <c r="X93" s="4"/>
      <c r="Y93" s="4"/>
      <c r="Z93" s="4">
        <f t="shared" si="95"/>
        <v>0</v>
      </c>
      <c r="AA93" s="4"/>
      <c r="AB93" s="4"/>
      <c r="AC93" s="4">
        <f t="shared" si="96"/>
        <v>0</v>
      </c>
      <c r="AD93" s="4"/>
      <c r="AE93" s="4"/>
      <c r="AF93" s="4">
        <f t="shared" si="81"/>
        <v>0</v>
      </c>
      <c r="AG93" s="4"/>
      <c r="AH93" s="4"/>
      <c r="AI93" s="4">
        <f t="shared" si="82"/>
        <v>0</v>
      </c>
      <c r="AJ93" s="4"/>
      <c r="AK93" s="4"/>
      <c r="AL93" s="4">
        <f t="shared" si="83"/>
        <v>0</v>
      </c>
      <c r="AM93" s="4">
        <f t="shared" si="97"/>
        <v>0</v>
      </c>
      <c r="AN93" s="4">
        <f t="shared" si="98"/>
        <v>0</v>
      </c>
      <c r="AO93" s="4">
        <f t="shared" si="102"/>
        <v>0</v>
      </c>
      <c r="AP93" s="43" t="e">
        <f t="shared" si="100"/>
        <v>#DIV/0!</v>
      </c>
      <c r="AQ93" s="34">
        <f t="shared" si="16"/>
        <v>-10000000</v>
      </c>
      <c r="AR93" s="38"/>
      <c r="AS93" s="38"/>
      <c r="AT93" s="2"/>
      <c r="AU93" s="2"/>
    </row>
    <row r="94" spans="1:47" x14ac:dyDescent="0.25">
      <c r="A94" s="5" t="str">
        <f>+'202401anual'!A128</f>
        <v>Vertimientos Alcantarillado, Tasa retributivas</v>
      </c>
      <c r="B94" s="4">
        <v>20000000</v>
      </c>
      <c r="C94" s="4">
        <v>0</v>
      </c>
      <c r="D94" s="4"/>
      <c r="E94" s="4">
        <f t="shared" si="72"/>
        <v>0</v>
      </c>
      <c r="F94" s="4"/>
      <c r="G94" s="4"/>
      <c r="H94" s="4">
        <f t="shared" si="73"/>
        <v>0</v>
      </c>
      <c r="I94" s="4"/>
      <c r="J94" s="4"/>
      <c r="K94" s="4">
        <f t="shared" si="90"/>
        <v>0</v>
      </c>
      <c r="L94" s="4"/>
      <c r="M94" s="4">
        <v>0</v>
      </c>
      <c r="N94" s="4">
        <f t="shared" si="91"/>
        <v>0</v>
      </c>
      <c r="O94" s="4"/>
      <c r="P94" s="4">
        <v>0</v>
      </c>
      <c r="Q94" s="4">
        <f t="shared" si="92"/>
        <v>0</v>
      </c>
      <c r="R94" s="4"/>
      <c r="S94" s="4"/>
      <c r="T94" s="4">
        <f t="shared" si="93"/>
        <v>0</v>
      </c>
      <c r="U94" s="4"/>
      <c r="V94" s="4"/>
      <c r="W94" s="4">
        <f t="shared" si="94"/>
        <v>0</v>
      </c>
      <c r="X94" s="4"/>
      <c r="Y94" s="4"/>
      <c r="Z94" s="4">
        <f t="shared" si="95"/>
        <v>0</v>
      </c>
      <c r="AA94" s="4"/>
      <c r="AB94" s="4"/>
      <c r="AC94" s="4">
        <f t="shared" si="96"/>
        <v>0</v>
      </c>
      <c r="AD94" s="4"/>
      <c r="AE94" s="4"/>
      <c r="AF94" s="4">
        <f t="shared" si="81"/>
        <v>0</v>
      </c>
      <c r="AG94" s="4"/>
      <c r="AH94" s="4"/>
      <c r="AI94" s="4">
        <f t="shared" si="82"/>
        <v>0</v>
      </c>
      <c r="AJ94" s="4"/>
      <c r="AK94" s="4"/>
      <c r="AL94" s="4">
        <f t="shared" si="83"/>
        <v>0</v>
      </c>
      <c r="AM94" s="4">
        <f t="shared" si="97"/>
        <v>0</v>
      </c>
      <c r="AN94" s="4">
        <f t="shared" si="98"/>
        <v>0</v>
      </c>
      <c r="AO94" s="4">
        <f t="shared" si="102"/>
        <v>0</v>
      </c>
      <c r="AP94" s="43" t="e">
        <f t="shared" si="100"/>
        <v>#DIV/0!</v>
      </c>
      <c r="AQ94" s="34">
        <f t="shared" si="16"/>
        <v>-20000000</v>
      </c>
      <c r="AR94" s="38"/>
      <c r="AS94" s="38"/>
      <c r="AT94" s="2"/>
      <c r="AU94" s="2"/>
    </row>
    <row r="95" spans="1:47" x14ac:dyDescent="0.25">
      <c r="A95" s="5" t="str">
        <f>+'202401anual'!A129</f>
        <v>Sanción Coralina ( Vertimiento Santa Catalina) y ( Relleno Sanitario)</v>
      </c>
      <c r="B95" s="4">
        <v>1500000000</v>
      </c>
      <c r="C95" s="4">
        <v>0</v>
      </c>
      <c r="D95" s="4"/>
      <c r="E95" s="4">
        <f t="shared" si="72"/>
        <v>0</v>
      </c>
      <c r="F95" s="4"/>
      <c r="G95" s="4"/>
      <c r="H95" s="4">
        <f t="shared" si="73"/>
        <v>0</v>
      </c>
      <c r="I95" s="4"/>
      <c r="J95" s="4"/>
      <c r="K95" s="4">
        <f t="shared" si="90"/>
        <v>0</v>
      </c>
      <c r="L95" s="4"/>
      <c r="M95" s="4">
        <v>0</v>
      </c>
      <c r="N95" s="4">
        <f t="shared" si="91"/>
        <v>0</v>
      </c>
      <c r="O95" s="4">
        <f>+'202401anual'!G119</f>
        <v>0</v>
      </c>
      <c r="P95" s="4">
        <v>0</v>
      </c>
      <c r="Q95" s="4">
        <f t="shared" si="92"/>
        <v>0</v>
      </c>
      <c r="R95" s="4">
        <f>+'202401anual'!H119</f>
        <v>0</v>
      </c>
      <c r="S95" s="4">
        <v>0</v>
      </c>
      <c r="T95" s="4">
        <f t="shared" si="93"/>
        <v>0</v>
      </c>
      <c r="U95" s="4"/>
      <c r="V95" s="4"/>
      <c r="W95" s="4">
        <f t="shared" si="94"/>
        <v>0</v>
      </c>
      <c r="X95" s="4"/>
      <c r="Y95" s="4"/>
      <c r="Z95" s="4">
        <f t="shared" si="95"/>
        <v>0</v>
      </c>
      <c r="AA95" s="4"/>
      <c r="AB95" s="4"/>
      <c r="AC95" s="4">
        <f t="shared" si="96"/>
        <v>0</v>
      </c>
      <c r="AD95" s="4"/>
      <c r="AE95" s="4"/>
      <c r="AF95" s="4">
        <f t="shared" si="81"/>
        <v>0</v>
      </c>
      <c r="AG95" s="4"/>
      <c r="AH95" s="4"/>
      <c r="AI95" s="4">
        <f t="shared" si="82"/>
        <v>0</v>
      </c>
      <c r="AJ95" s="4"/>
      <c r="AK95" s="4"/>
      <c r="AL95" s="4">
        <f t="shared" si="83"/>
        <v>0</v>
      </c>
      <c r="AM95" s="4">
        <f t="shared" si="97"/>
        <v>0</v>
      </c>
      <c r="AN95" s="4">
        <f t="shared" si="98"/>
        <v>0</v>
      </c>
      <c r="AO95" s="4">
        <f t="shared" si="102"/>
        <v>0</v>
      </c>
      <c r="AP95" s="43" t="e">
        <f t="shared" si="100"/>
        <v>#DIV/0!</v>
      </c>
      <c r="AQ95" s="34">
        <f t="shared" ref="AQ95:AQ100" si="103">+AM95-B95</f>
        <v>-1500000000</v>
      </c>
      <c r="AR95" s="38"/>
      <c r="AS95" s="38"/>
      <c r="AT95" s="2"/>
      <c r="AU95" s="2"/>
    </row>
    <row r="96" spans="1:47" x14ac:dyDescent="0.25">
      <c r="A96" s="5" t="str">
        <f>+'202401anual'!A130</f>
        <v>Análisis emisión de gases, sitio de disposición final residuos sólidos</v>
      </c>
      <c r="B96" s="4">
        <v>9000000</v>
      </c>
      <c r="C96" s="4">
        <v>0</v>
      </c>
      <c r="D96" s="4"/>
      <c r="E96" s="4">
        <f t="shared" si="72"/>
        <v>0</v>
      </c>
      <c r="F96" s="4"/>
      <c r="G96" s="4"/>
      <c r="H96" s="4">
        <f t="shared" si="73"/>
        <v>0</v>
      </c>
      <c r="I96" s="4"/>
      <c r="J96" s="4"/>
      <c r="K96" s="4">
        <f t="shared" si="90"/>
        <v>0</v>
      </c>
      <c r="L96" s="4"/>
      <c r="M96" s="4"/>
      <c r="N96" s="4">
        <f t="shared" si="91"/>
        <v>0</v>
      </c>
      <c r="O96" s="4"/>
      <c r="P96" s="4"/>
      <c r="Q96" s="4">
        <f t="shared" si="92"/>
        <v>0</v>
      </c>
      <c r="R96" s="4"/>
      <c r="S96" s="4"/>
      <c r="T96" s="4">
        <f t="shared" si="93"/>
        <v>0</v>
      </c>
      <c r="U96" s="4"/>
      <c r="V96" s="4"/>
      <c r="W96" s="4">
        <f t="shared" si="94"/>
        <v>0</v>
      </c>
      <c r="X96" s="4"/>
      <c r="Y96" s="4"/>
      <c r="Z96" s="4">
        <f t="shared" si="95"/>
        <v>0</v>
      </c>
      <c r="AA96" s="4"/>
      <c r="AB96" s="4"/>
      <c r="AC96" s="4">
        <f t="shared" si="96"/>
        <v>0</v>
      </c>
      <c r="AD96" s="4"/>
      <c r="AE96" s="4"/>
      <c r="AF96" s="4">
        <f t="shared" si="81"/>
        <v>0</v>
      </c>
      <c r="AG96" s="4"/>
      <c r="AH96" s="4"/>
      <c r="AI96" s="4">
        <f t="shared" si="82"/>
        <v>0</v>
      </c>
      <c r="AJ96" s="4"/>
      <c r="AK96" s="4"/>
      <c r="AL96" s="4">
        <f t="shared" si="83"/>
        <v>0</v>
      </c>
      <c r="AM96" s="4">
        <f t="shared" si="97"/>
        <v>0</v>
      </c>
      <c r="AN96" s="4">
        <f t="shared" si="98"/>
        <v>0</v>
      </c>
      <c r="AO96" s="4">
        <f t="shared" si="102"/>
        <v>0</v>
      </c>
      <c r="AP96" s="43" t="e">
        <f t="shared" si="100"/>
        <v>#DIV/0!</v>
      </c>
      <c r="AQ96" s="34">
        <f t="shared" si="103"/>
        <v>-9000000</v>
      </c>
      <c r="AR96" s="38"/>
      <c r="AS96" s="38"/>
      <c r="AT96" s="2"/>
      <c r="AU96" s="2"/>
    </row>
    <row r="97" spans="1:55" x14ac:dyDescent="0.25">
      <c r="A97" s="12" t="s">
        <v>189</v>
      </c>
      <c r="B97" s="8">
        <f>SUM(B88:B96)</f>
        <v>1623000000</v>
      </c>
      <c r="C97" s="8">
        <f>SUM(C88:C96)</f>
        <v>0</v>
      </c>
      <c r="D97" s="8">
        <f t="shared" ref="D97:AP97" si="104">SUM(D88:D96)</f>
        <v>0</v>
      </c>
      <c r="E97" s="8">
        <f t="shared" si="104"/>
        <v>0</v>
      </c>
      <c r="F97" s="8">
        <f t="shared" si="104"/>
        <v>0</v>
      </c>
      <c r="G97" s="8">
        <f t="shared" si="104"/>
        <v>0</v>
      </c>
      <c r="H97" s="8">
        <f t="shared" si="104"/>
        <v>0</v>
      </c>
      <c r="I97" s="8">
        <f t="shared" si="104"/>
        <v>0</v>
      </c>
      <c r="J97" s="8">
        <f t="shared" si="104"/>
        <v>0</v>
      </c>
      <c r="K97" s="8">
        <f t="shared" si="104"/>
        <v>0</v>
      </c>
      <c r="L97" s="8">
        <f t="shared" si="104"/>
        <v>0</v>
      </c>
      <c r="M97" s="8">
        <f t="shared" si="104"/>
        <v>0</v>
      </c>
      <c r="N97" s="8">
        <f t="shared" si="104"/>
        <v>0</v>
      </c>
      <c r="O97" s="8">
        <f t="shared" si="104"/>
        <v>0</v>
      </c>
      <c r="P97" s="8">
        <f t="shared" si="104"/>
        <v>0</v>
      </c>
      <c r="Q97" s="8">
        <f t="shared" si="104"/>
        <v>0</v>
      </c>
      <c r="R97" s="8">
        <f t="shared" si="104"/>
        <v>0</v>
      </c>
      <c r="S97" s="8">
        <f t="shared" si="104"/>
        <v>0</v>
      </c>
      <c r="T97" s="8">
        <f t="shared" si="104"/>
        <v>0</v>
      </c>
      <c r="U97" s="8">
        <f t="shared" si="104"/>
        <v>0</v>
      </c>
      <c r="V97" s="8">
        <f t="shared" si="104"/>
        <v>0</v>
      </c>
      <c r="W97" s="8">
        <f t="shared" si="104"/>
        <v>0</v>
      </c>
      <c r="X97" s="8">
        <f t="shared" si="104"/>
        <v>0</v>
      </c>
      <c r="Y97" s="8">
        <f t="shared" si="104"/>
        <v>0</v>
      </c>
      <c r="Z97" s="8">
        <f t="shared" si="104"/>
        <v>0</v>
      </c>
      <c r="AA97" s="8">
        <f t="shared" si="104"/>
        <v>0</v>
      </c>
      <c r="AB97" s="8">
        <f t="shared" si="104"/>
        <v>0</v>
      </c>
      <c r="AC97" s="8">
        <f t="shared" si="104"/>
        <v>0</v>
      </c>
      <c r="AD97" s="8">
        <f t="shared" si="104"/>
        <v>0</v>
      </c>
      <c r="AE97" s="8">
        <f t="shared" si="104"/>
        <v>0</v>
      </c>
      <c r="AF97" s="8">
        <f t="shared" si="104"/>
        <v>0</v>
      </c>
      <c r="AG97" s="8">
        <f t="shared" si="104"/>
        <v>0</v>
      </c>
      <c r="AH97" s="8">
        <f t="shared" si="104"/>
        <v>0</v>
      </c>
      <c r="AI97" s="8">
        <f t="shared" si="104"/>
        <v>0</v>
      </c>
      <c r="AJ97" s="8">
        <f t="shared" si="104"/>
        <v>0</v>
      </c>
      <c r="AK97" s="8">
        <f t="shared" si="104"/>
        <v>0</v>
      </c>
      <c r="AL97" s="8">
        <f t="shared" si="104"/>
        <v>0</v>
      </c>
      <c r="AM97" s="8">
        <f t="shared" si="104"/>
        <v>0</v>
      </c>
      <c r="AN97" s="8">
        <f t="shared" si="104"/>
        <v>0</v>
      </c>
      <c r="AO97" s="8">
        <f t="shared" si="104"/>
        <v>0</v>
      </c>
      <c r="AP97" s="8" t="e">
        <f t="shared" si="104"/>
        <v>#DIV/0!</v>
      </c>
      <c r="AQ97" s="34"/>
      <c r="AR97" s="38"/>
      <c r="AS97" s="38"/>
      <c r="AT97" s="2"/>
      <c r="AU97" s="2"/>
    </row>
    <row r="98" spans="1:55" x14ac:dyDescent="0.25">
      <c r="A98" s="12" t="s">
        <v>190</v>
      </c>
      <c r="B98" s="8">
        <f>+B97+B86+B49</f>
        <v>4836113988.7873907</v>
      </c>
      <c r="C98" s="8">
        <f>+C97+C86+C49</f>
        <v>210216582.39894927</v>
      </c>
      <c r="D98" s="8">
        <f t="shared" ref="D98:AO98" si="105">+D97+D86+D49</f>
        <v>133106784</v>
      </c>
      <c r="E98" s="8">
        <f t="shared" si="105"/>
        <v>77109798.398949251</v>
      </c>
      <c r="F98" s="8">
        <f t="shared" si="105"/>
        <v>0</v>
      </c>
      <c r="G98" s="8">
        <f t="shared" si="105"/>
        <v>0</v>
      </c>
      <c r="H98" s="8">
        <f t="shared" si="105"/>
        <v>0</v>
      </c>
      <c r="I98" s="8">
        <f t="shared" si="105"/>
        <v>0</v>
      </c>
      <c r="J98" s="8">
        <f t="shared" si="105"/>
        <v>0</v>
      </c>
      <c r="K98" s="8">
        <f t="shared" si="105"/>
        <v>0</v>
      </c>
      <c r="L98" s="8">
        <f t="shared" si="105"/>
        <v>0</v>
      </c>
      <c r="M98" s="8">
        <f t="shared" si="105"/>
        <v>0</v>
      </c>
      <c r="N98" s="8">
        <f t="shared" si="105"/>
        <v>0</v>
      </c>
      <c r="O98" s="8">
        <f t="shared" si="105"/>
        <v>0</v>
      </c>
      <c r="P98" s="8">
        <f t="shared" si="105"/>
        <v>0</v>
      </c>
      <c r="Q98" s="8">
        <f t="shared" si="105"/>
        <v>0</v>
      </c>
      <c r="R98" s="8">
        <f t="shared" si="105"/>
        <v>0</v>
      </c>
      <c r="S98" s="8">
        <f t="shared" si="105"/>
        <v>0</v>
      </c>
      <c r="T98" s="8">
        <f t="shared" si="105"/>
        <v>0</v>
      </c>
      <c r="U98" s="8">
        <f t="shared" si="105"/>
        <v>0</v>
      </c>
      <c r="V98" s="8">
        <f t="shared" si="105"/>
        <v>0</v>
      </c>
      <c r="W98" s="8">
        <f t="shared" si="105"/>
        <v>0</v>
      </c>
      <c r="X98" s="8">
        <f t="shared" si="105"/>
        <v>0</v>
      </c>
      <c r="Y98" s="8">
        <f t="shared" si="105"/>
        <v>0</v>
      </c>
      <c r="Z98" s="8">
        <f t="shared" si="105"/>
        <v>0</v>
      </c>
      <c r="AA98" s="8">
        <f t="shared" si="105"/>
        <v>0</v>
      </c>
      <c r="AB98" s="8">
        <f t="shared" si="105"/>
        <v>0</v>
      </c>
      <c r="AC98" s="8">
        <f t="shared" si="105"/>
        <v>0</v>
      </c>
      <c r="AD98" s="8">
        <f t="shared" si="105"/>
        <v>0</v>
      </c>
      <c r="AE98" s="8">
        <f t="shared" si="105"/>
        <v>0</v>
      </c>
      <c r="AF98" s="8">
        <f t="shared" si="105"/>
        <v>0</v>
      </c>
      <c r="AG98" s="8">
        <f t="shared" si="105"/>
        <v>0</v>
      </c>
      <c r="AH98" s="8">
        <f t="shared" si="105"/>
        <v>0</v>
      </c>
      <c r="AI98" s="8">
        <f t="shared" si="105"/>
        <v>0</v>
      </c>
      <c r="AJ98" s="8">
        <f t="shared" si="105"/>
        <v>0</v>
      </c>
      <c r="AK98" s="8">
        <f t="shared" si="105"/>
        <v>0</v>
      </c>
      <c r="AL98" s="8">
        <f t="shared" si="105"/>
        <v>0</v>
      </c>
      <c r="AM98" s="8">
        <f t="shared" si="105"/>
        <v>210216582.39894927</v>
      </c>
      <c r="AN98" s="8">
        <f t="shared" si="105"/>
        <v>133106784</v>
      </c>
      <c r="AO98" s="8">
        <f t="shared" si="105"/>
        <v>77109798.398949251</v>
      </c>
      <c r="AP98" s="31">
        <f>+AO98/AM98</f>
        <v>0.36681120736997896</v>
      </c>
      <c r="AQ98" s="34">
        <f t="shared" si="103"/>
        <v>-4625897406.3884411</v>
      </c>
      <c r="AR98" s="50" t="e">
        <f>AI98/AG98*100</f>
        <v>#DIV/0!</v>
      </c>
      <c r="AS98" s="39"/>
      <c r="AT98" s="2"/>
      <c r="AU98" s="2"/>
      <c r="AW98" s="2"/>
    </row>
    <row r="99" spans="1:55" s="1" customFormat="1" x14ac:dyDescent="0.25">
      <c r="A99" s="12" t="s">
        <v>62</v>
      </c>
      <c r="B99" s="15">
        <f>+B98+B35+B27</f>
        <v>10863395269.79406</v>
      </c>
      <c r="C99" s="15">
        <f>+C98+C35+C27</f>
        <v>594304604.70405233</v>
      </c>
      <c r="D99" s="15">
        <f t="shared" ref="D99:AO99" si="106">+D98+D35+D27</f>
        <v>319071398</v>
      </c>
      <c r="E99" s="15">
        <f t="shared" si="106"/>
        <v>275233206.70405233</v>
      </c>
      <c r="F99" s="15">
        <f t="shared" si="106"/>
        <v>0</v>
      </c>
      <c r="G99" s="15">
        <f t="shared" si="106"/>
        <v>0</v>
      </c>
      <c r="H99" s="15">
        <f t="shared" si="106"/>
        <v>0</v>
      </c>
      <c r="I99" s="15">
        <f t="shared" si="106"/>
        <v>0</v>
      </c>
      <c r="J99" s="15">
        <f t="shared" si="106"/>
        <v>0</v>
      </c>
      <c r="K99" s="15">
        <f t="shared" si="106"/>
        <v>0</v>
      </c>
      <c r="L99" s="15">
        <f t="shared" si="106"/>
        <v>0</v>
      </c>
      <c r="M99" s="15">
        <f t="shared" si="106"/>
        <v>0</v>
      </c>
      <c r="N99" s="15">
        <f t="shared" si="106"/>
        <v>0</v>
      </c>
      <c r="O99" s="15">
        <f t="shared" si="106"/>
        <v>0</v>
      </c>
      <c r="P99" s="15">
        <f t="shared" si="106"/>
        <v>0</v>
      </c>
      <c r="Q99" s="15">
        <f t="shared" si="106"/>
        <v>0</v>
      </c>
      <c r="R99" s="15">
        <f t="shared" si="106"/>
        <v>0</v>
      </c>
      <c r="S99" s="15">
        <f t="shared" si="106"/>
        <v>0</v>
      </c>
      <c r="T99" s="15">
        <f t="shared" si="106"/>
        <v>0</v>
      </c>
      <c r="U99" s="15">
        <f t="shared" si="106"/>
        <v>0</v>
      </c>
      <c r="V99" s="15">
        <f t="shared" si="106"/>
        <v>0</v>
      </c>
      <c r="W99" s="15">
        <f t="shared" si="106"/>
        <v>0</v>
      </c>
      <c r="X99" s="15">
        <f t="shared" si="106"/>
        <v>0</v>
      </c>
      <c r="Y99" s="15">
        <f t="shared" si="106"/>
        <v>0</v>
      </c>
      <c r="Z99" s="15">
        <f t="shared" si="106"/>
        <v>0</v>
      </c>
      <c r="AA99" s="15">
        <f t="shared" si="106"/>
        <v>0</v>
      </c>
      <c r="AB99" s="15">
        <f t="shared" si="106"/>
        <v>0</v>
      </c>
      <c r="AC99" s="15">
        <f t="shared" si="106"/>
        <v>0</v>
      </c>
      <c r="AD99" s="15">
        <f t="shared" si="106"/>
        <v>0</v>
      </c>
      <c r="AE99" s="15">
        <f t="shared" si="106"/>
        <v>0</v>
      </c>
      <c r="AF99" s="15">
        <f t="shared" si="106"/>
        <v>0</v>
      </c>
      <c r="AG99" s="15">
        <f t="shared" si="106"/>
        <v>0</v>
      </c>
      <c r="AH99" s="15">
        <f t="shared" si="106"/>
        <v>0</v>
      </c>
      <c r="AI99" s="15">
        <f t="shared" si="106"/>
        <v>0</v>
      </c>
      <c r="AJ99" s="15">
        <f t="shared" si="106"/>
        <v>0</v>
      </c>
      <c r="AK99" s="15">
        <f t="shared" si="106"/>
        <v>0</v>
      </c>
      <c r="AL99" s="15">
        <f t="shared" si="106"/>
        <v>0</v>
      </c>
      <c r="AM99" s="15">
        <f t="shared" si="106"/>
        <v>594304604.70405233</v>
      </c>
      <c r="AN99" s="15">
        <f t="shared" si="106"/>
        <v>319071398</v>
      </c>
      <c r="AO99" s="15">
        <f t="shared" si="106"/>
        <v>275233206.70405233</v>
      </c>
      <c r="AP99" s="31">
        <f>+AO99/AM99</f>
        <v>0.46311807871842259</v>
      </c>
      <c r="AQ99" s="34">
        <f t="shared" si="103"/>
        <v>-10269090665.090008</v>
      </c>
      <c r="AR99" s="50" t="e">
        <f>AI99/AG99*100</f>
        <v>#DIV/0!</v>
      </c>
      <c r="AS99" s="53">
        <f>+AN99/AM99</f>
        <v>0.53688192128157741</v>
      </c>
      <c r="AT99" s="51"/>
      <c r="AU99" s="2" t="e">
        <f>+AF99/AD99*100</f>
        <v>#DIV/0!</v>
      </c>
      <c r="AV99" s="1">
        <f>100-53</f>
        <v>47</v>
      </c>
      <c r="BA99" s="100"/>
      <c r="BC99" s="55"/>
    </row>
    <row r="100" spans="1:55" ht="19.5" thickBot="1" x14ac:dyDescent="0.3">
      <c r="A100" s="13" t="s">
        <v>0</v>
      </c>
      <c r="B100" s="9">
        <f>+B15-B99</f>
        <v>-0.49275398254394531</v>
      </c>
      <c r="C100" s="9">
        <f>+C15-C99</f>
        <v>-418782888.01425302</v>
      </c>
      <c r="D100" s="9">
        <f t="shared" ref="D100:AO100" si="107">+D15-D99</f>
        <v>-171065306.81999999</v>
      </c>
      <c r="E100" s="9">
        <f t="shared" si="107"/>
        <v>-247717581.19425297</v>
      </c>
      <c r="F100" s="9">
        <f t="shared" si="107"/>
        <v>0</v>
      </c>
      <c r="G100" s="9">
        <f t="shared" si="107"/>
        <v>0</v>
      </c>
      <c r="H100" s="9">
        <f t="shared" si="107"/>
        <v>0</v>
      </c>
      <c r="I100" s="9">
        <f t="shared" si="107"/>
        <v>0</v>
      </c>
      <c r="J100" s="9">
        <f t="shared" si="107"/>
        <v>0</v>
      </c>
      <c r="K100" s="9">
        <f t="shared" si="107"/>
        <v>0</v>
      </c>
      <c r="L100" s="9">
        <f t="shared" si="107"/>
        <v>0</v>
      </c>
      <c r="M100" s="9">
        <f t="shared" si="107"/>
        <v>0</v>
      </c>
      <c r="N100" s="9">
        <f t="shared" si="107"/>
        <v>0</v>
      </c>
      <c r="O100" s="9">
        <f t="shared" si="107"/>
        <v>0</v>
      </c>
      <c r="P100" s="9">
        <f t="shared" si="107"/>
        <v>0</v>
      </c>
      <c r="Q100" s="9">
        <f t="shared" si="107"/>
        <v>0</v>
      </c>
      <c r="R100" s="9">
        <f t="shared" si="107"/>
        <v>0</v>
      </c>
      <c r="S100" s="9">
        <f t="shared" si="107"/>
        <v>0</v>
      </c>
      <c r="T100" s="9">
        <f t="shared" si="107"/>
        <v>0</v>
      </c>
      <c r="U100" s="9">
        <f t="shared" si="107"/>
        <v>0</v>
      </c>
      <c r="V100" s="9">
        <f t="shared" si="107"/>
        <v>0</v>
      </c>
      <c r="W100" s="9">
        <f t="shared" si="107"/>
        <v>0</v>
      </c>
      <c r="X100" s="9">
        <f t="shared" si="107"/>
        <v>0</v>
      </c>
      <c r="Y100" s="9">
        <f t="shared" si="107"/>
        <v>0</v>
      </c>
      <c r="Z100" s="9">
        <f t="shared" si="107"/>
        <v>0</v>
      </c>
      <c r="AA100" s="9">
        <f t="shared" si="107"/>
        <v>0</v>
      </c>
      <c r="AB100" s="9">
        <f t="shared" si="107"/>
        <v>0</v>
      </c>
      <c r="AC100" s="9">
        <f t="shared" si="107"/>
        <v>0</v>
      </c>
      <c r="AD100" s="9">
        <f t="shared" si="107"/>
        <v>0</v>
      </c>
      <c r="AE100" s="9">
        <f t="shared" si="107"/>
        <v>0</v>
      </c>
      <c r="AF100" s="9">
        <f t="shared" si="107"/>
        <v>0</v>
      </c>
      <c r="AG100" s="9">
        <f t="shared" si="107"/>
        <v>0</v>
      </c>
      <c r="AH100" s="9">
        <f t="shared" si="107"/>
        <v>0</v>
      </c>
      <c r="AI100" s="9">
        <f t="shared" si="107"/>
        <v>0</v>
      </c>
      <c r="AJ100" s="9">
        <f t="shared" si="107"/>
        <v>0</v>
      </c>
      <c r="AK100" s="9">
        <f t="shared" si="107"/>
        <v>0</v>
      </c>
      <c r="AL100" s="9">
        <f t="shared" si="107"/>
        <v>0</v>
      </c>
      <c r="AM100" s="9">
        <f t="shared" si="107"/>
        <v>-418782888.01425302</v>
      </c>
      <c r="AN100" s="9">
        <f t="shared" si="107"/>
        <v>-185515915.15000004</v>
      </c>
      <c r="AO100" s="9">
        <f t="shared" si="107"/>
        <v>-233266972.86425298</v>
      </c>
      <c r="AP100" s="32">
        <f>+AO100/AM100</f>
        <v>0.55701171069891919</v>
      </c>
      <c r="AQ100" s="34">
        <f t="shared" si="103"/>
        <v>-418782887.52149904</v>
      </c>
      <c r="AR100" s="50" t="e">
        <f>AI100/AG100*100</f>
        <v>#DIV/0!</v>
      </c>
      <c r="AS100" s="41"/>
      <c r="AT100" s="2"/>
      <c r="AU100" s="2"/>
      <c r="BC100" s="56"/>
    </row>
    <row r="101" spans="1:55" x14ac:dyDescent="0.25">
      <c r="D101" s="2"/>
      <c r="G101" s="40"/>
      <c r="H101" s="40"/>
      <c r="I101" s="2"/>
      <c r="J101" s="2"/>
      <c r="K101" s="2"/>
      <c r="R101" s="2"/>
      <c r="S101" s="2"/>
      <c r="T101" s="2"/>
      <c r="U101" s="2"/>
      <c r="V101" s="2"/>
      <c r="X101" s="2"/>
      <c r="Y101" s="2"/>
      <c r="AA101" s="2"/>
      <c r="AB101" s="2"/>
      <c r="AC101" s="2"/>
      <c r="AD101" s="2"/>
      <c r="AE101" s="2"/>
      <c r="AF101" s="2"/>
      <c r="AG101" s="2"/>
      <c r="AH101" s="2"/>
      <c r="AI101" s="2"/>
      <c r="AO101" s="24"/>
      <c r="AR101" s="51"/>
      <c r="AU101" s="2"/>
    </row>
    <row r="102" spans="1:55" x14ac:dyDescent="0.25">
      <c r="D102" s="2"/>
      <c r="G102" s="40"/>
      <c r="H102" s="40"/>
      <c r="I102" s="2"/>
      <c r="J102" s="2"/>
      <c r="K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M102" s="2"/>
      <c r="AN102" s="2"/>
      <c r="AO102" s="24"/>
      <c r="AR102" s="51"/>
      <c r="AU102" s="2"/>
    </row>
    <row r="103" spans="1:55" ht="15.75" customHeight="1" x14ac:dyDescent="0.25">
      <c r="G103" s="35"/>
      <c r="H103" s="35"/>
      <c r="I103" s="2" t="s">
        <v>59</v>
      </c>
      <c r="J103" s="2"/>
      <c r="K103" s="2"/>
      <c r="P103" s="24"/>
      <c r="R103" s="2"/>
      <c r="S103" s="2"/>
      <c r="T103" s="2"/>
      <c r="U103" s="2"/>
      <c r="V103" s="2"/>
      <c r="X103" s="2"/>
      <c r="Y103" s="2"/>
      <c r="Z103" s="2"/>
      <c r="AM103" s="2"/>
      <c r="AN103" s="2"/>
      <c r="AO103" s="2"/>
      <c r="AR103" s="2"/>
      <c r="AU103" s="2"/>
      <c r="AV103" s="20"/>
      <c r="AX103" s="2"/>
    </row>
    <row r="104" spans="1:55" x14ac:dyDescent="0.25">
      <c r="B104" s="2"/>
      <c r="I104" s="2"/>
      <c r="J104" s="2"/>
      <c r="K104" s="2"/>
      <c r="R104" s="2"/>
      <c r="S104" s="2"/>
      <c r="T104" s="2"/>
      <c r="U104" s="2"/>
      <c r="V104" s="2"/>
      <c r="X104" s="2"/>
      <c r="Y104" s="2"/>
      <c r="Z104" s="2"/>
      <c r="AM104" s="2"/>
      <c r="AN104" s="2"/>
      <c r="AO104" s="2"/>
      <c r="AQ104" s="47"/>
      <c r="AR104" s="47"/>
      <c r="AU104" s="2"/>
      <c r="AV104" s="20"/>
      <c r="AX104" s="2"/>
    </row>
    <row r="105" spans="1:55" x14ac:dyDescent="0.25">
      <c r="B105" s="2"/>
      <c r="C105" s="2">
        <f>+'202401anual'!C145-'2024Ej'!C100</f>
        <v>0</v>
      </c>
      <c r="F105" s="2">
        <f>+'202401anual'!D145-'2024Ej'!F100</f>
        <v>-507158459.13425303</v>
      </c>
      <c r="I105" s="2">
        <f>+'202401anual'!E145-'2024Ej'!I100</f>
        <v>1944832990.7457471</v>
      </c>
      <c r="L105" s="2">
        <f>+L100-'202401anual'!F145</f>
        <v>474107238.37425303</v>
      </c>
      <c r="O105" s="2">
        <f>+O100-'202401anual'!G145</f>
        <v>503184588.49425304</v>
      </c>
      <c r="R105" s="2">
        <f>+R100-'202401anual'!H145</f>
        <v>452855296.61425304</v>
      </c>
      <c r="U105" s="2">
        <f>+U100-'202401anual'!I145</f>
        <v>-5449491436.5753069</v>
      </c>
      <c r="X105" s="2">
        <f>+X100-'202401anual'!J145</f>
        <v>428007231.56742215</v>
      </c>
      <c r="Y105" s="2"/>
      <c r="Z105" s="2"/>
      <c r="AA105" s="2">
        <f>+AA100-'202401anual'!K145</f>
        <v>3161888031.5674219</v>
      </c>
      <c r="AD105" s="2">
        <f>+AD100-'202401anual'!L145</f>
        <v>473002231.56742215</v>
      </c>
      <c r="AG105" s="2">
        <f>+AG100-'202401anual'!M145</f>
        <v>440797231.56742215</v>
      </c>
      <c r="AM105" s="2"/>
      <c r="AN105" s="2"/>
      <c r="AO105" s="3"/>
      <c r="AR105" s="2"/>
      <c r="AU105" s="2"/>
      <c r="AV105" s="20"/>
    </row>
    <row r="106" spans="1:55" x14ac:dyDescent="0.25">
      <c r="X106" s="2"/>
      <c r="Y106" s="2"/>
      <c r="Z106" s="2"/>
      <c r="AM106" s="2"/>
      <c r="AN106" s="2"/>
      <c r="AO106" s="2"/>
      <c r="AU106" s="2"/>
      <c r="AV106" s="20"/>
      <c r="AW106" s="2"/>
    </row>
    <row r="107" spans="1:55" x14ac:dyDescent="0.25">
      <c r="B107" s="2"/>
      <c r="X107" s="2"/>
      <c r="Y107" s="2"/>
      <c r="Z107" s="2"/>
      <c r="AM107" s="2"/>
      <c r="AN107" s="2"/>
      <c r="AO107" s="2"/>
      <c r="AU107" s="2"/>
      <c r="AV107" s="2"/>
    </row>
    <row r="108" spans="1:55" x14ac:dyDescent="0.25">
      <c r="D108" s="2"/>
      <c r="E108" s="2"/>
      <c r="X108" s="2"/>
      <c r="Y108" s="2"/>
      <c r="Z108" s="2"/>
      <c r="AM108" s="2"/>
      <c r="AN108" s="2"/>
      <c r="AO108" s="3"/>
      <c r="AU108" s="2"/>
      <c r="AV108" s="2"/>
    </row>
    <row r="109" spans="1:55" x14ac:dyDescent="0.25">
      <c r="C109" s="3"/>
      <c r="D109" s="3"/>
      <c r="E109" s="42"/>
      <c r="AN109" s="2"/>
      <c r="AO109" s="24"/>
      <c r="AU109" s="2"/>
    </row>
    <row r="110" spans="1:55" x14ac:dyDescent="0.25">
      <c r="D110" s="2"/>
      <c r="AA110" t="s">
        <v>118</v>
      </c>
      <c r="AN110" s="2"/>
      <c r="AU110" s="2"/>
    </row>
    <row r="111" spans="1:55" x14ac:dyDescent="0.25">
      <c r="Y111" s="24"/>
      <c r="AA111" s="20" t="s">
        <v>119</v>
      </c>
      <c r="AB111" s="20"/>
      <c r="AC111" s="20"/>
      <c r="AD111" s="20"/>
      <c r="AE111" s="20"/>
      <c r="AF111" s="20"/>
      <c r="AM111" s="20"/>
      <c r="AU111" s="2"/>
    </row>
    <row r="112" spans="1:55" x14ac:dyDescent="0.25">
      <c r="D112" s="2"/>
      <c r="Y112" s="24"/>
      <c r="AA112" s="93" t="s">
        <v>120</v>
      </c>
      <c r="AB112" s="93"/>
      <c r="AC112" s="93"/>
      <c r="AD112" s="93"/>
      <c r="AE112" s="93"/>
      <c r="AF112" s="93"/>
      <c r="AG112" s="93"/>
      <c r="AH112" s="93"/>
      <c r="AI112" s="93"/>
      <c r="AJ112" s="93"/>
      <c r="AK112" s="54"/>
      <c r="AL112" s="54"/>
      <c r="AM112" s="20"/>
      <c r="AU112" s="2"/>
    </row>
    <row r="113" spans="16:47" x14ac:dyDescent="0.25">
      <c r="AA113" t="s">
        <v>121</v>
      </c>
      <c r="AM113" s="20"/>
      <c r="AN113" s="2"/>
      <c r="AU113" s="2"/>
    </row>
    <row r="114" spans="16:47" x14ac:dyDescent="0.25">
      <c r="AA114" t="s">
        <v>111</v>
      </c>
      <c r="AM114" s="2"/>
    </row>
    <row r="116" spans="16:47" x14ac:dyDescent="0.25">
      <c r="P116" s="2"/>
      <c r="AM116" s="2"/>
    </row>
    <row r="117" spans="16:47" x14ac:dyDescent="0.25">
      <c r="AM117" s="2"/>
    </row>
    <row r="120" spans="16:47" x14ac:dyDescent="0.25">
      <c r="AN120" s="2"/>
    </row>
    <row r="121" spans="16:47" x14ac:dyDescent="0.25">
      <c r="AN121" s="2"/>
    </row>
    <row r="125" spans="16:47" x14ac:dyDescent="0.25">
      <c r="AM125" s="24"/>
    </row>
  </sheetData>
  <autoFilter ref="A5:AP100" xr:uid="{4C861BE8-7E5D-4966-A65F-7599F5FEBCAA}"/>
  <mergeCells count="16">
    <mergeCell ref="AA112:AJ112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86" t="s">
        <v>51</v>
      </c>
      <c r="B1" s="86"/>
      <c r="C1" s="86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85" t="s">
        <v>64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23"/>
      <c r="U3" s="23"/>
      <c r="V3" s="23"/>
    </row>
    <row r="4" spans="1:30" ht="15.75" thickBot="1" x14ac:dyDescent="0.3">
      <c r="A4" s="23"/>
      <c r="B4" s="23"/>
      <c r="C4" s="87" t="s">
        <v>105</v>
      </c>
      <c r="D4" s="88"/>
      <c r="E4" s="89"/>
      <c r="F4" s="23"/>
      <c r="G4" s="23"/>
      <c r="H4" s="23"/>
      <c r="I4" s="23"/>
      <c r="J4" s="23"/>
      <c r="K4" s="23"/>
      <c r="L4" s="23"/>
      <c r="M4" s="23"/>
      <c r="N4" s="23"/>
      <c r="O4" s="23"/>
      <c r="P4" s="90" t="s">
        <v>48</v>
      </c>
      <c r="Q4" s="91"/>
      <c r="R4" s="91"/>
      <c r="S4" s="92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+[9]EjecucionPptalPasiva!$S$11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2024-01-22T16:05:38Z</cp:lastPrinted>
  <dcterms:created xsi:type="dcterms:W3CDTF">2021-06-03T01:26:57Z</dcterms:created>
  <dcterms:modified xsi:type="dcterms:W3CDTF">2024-02-22T00:46:47Z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