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3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22.xml" ContentType="application/vnd.ms-excel.person+xml"/>
  <Override PartName="/xl/persons/person41.xml" ContentType="application/vnd.ms-excel.person+xml"/>
  <Override PartName="/xl/persons/person45.xml" ContentType="application/vnd.ms-excel.person+xml"/>
  <Override PartName="/xl/persons/person35.xml" ContentType="application/vnd.ms-excel.person+xml"/>
  <Override PartName="/xl/persons/person20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26.xml" ContentType="application/vnd.ms-excel.person+xml"/>
  <Override PartName="/xl/persons/person32.xml" ContentType="application/vnd.ms-excel.person+xml"/>
  <Override PartName="/xl/persons/person42.xml" ContentType="application/vnd.ms-excel.person+xml"/>
  <Override PartName="/xl/persons/person46.xml" ContentType="application/vnd.ms-excel.person+xml"/>
  <Override PartName="/xl/persons/person28.xml" ContentType="application/vnd.ms-excel.person+xml"/>
  <Override PartName="/xl/persons/person47.xml" ContentType="application/vnd.ms-excel.person+xml"/>
  <Override PartName="/xl/persons/person27.xml" ContentType="application/vnd.ms-excel.person+xml"/>
  <Override PartName="/xl/persons/person24.xml" ContentType="application/vnd.ms-excel.person+xml"/>
  <Override PartName="/xl/persons/person15.xml" ContentType="application/vnd.ms-excel.person+xml"/>
  <Override PartName="/xl/persons/person30.xml" ContentType="application/vnd.ms-excel.person+xml"/>
  <Override PartName="/xl/persons/person38.xml" ContentType="application/vnd.ms-excel.person+xml"/>
  <Override PartName="/xl/persons/person44.xml" ContentType="application/vnd.ms-excel.person+xml"/>
  <Override PartName="/xl/persons/person49.xml" ContentType="application/vnd.ms-excel.person+xml"/>
  <Override PartName="/xl/persons/person40.xml" ContentType="application/vnd.ms-excel.person+xml"/>
  <Override PartName="/xl/persons/person51.xml" ContentType="application/vnd.ms-excel.person+xml"/>
  <Override PartName="/xl/persons/person37.xml" ContentType="application/vnd.ms-excel.person+xml"/>
  <Override PartName="/xl/persons/person31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.xml" ContentType="application/vnd.ms-excel.person+xml"/>
  <Override PartName="/xl/persons/person50.xml" ContentType="application/vnd.ms-excel.person+xml"/>
  <Override PartName="/xl/persons/person39.xml" ContentType="application/vnd.ms-excel.person+xml"/>
  <Override PartName="/xl/persons/person8.xml" ContentType="application/vnd.ms-excel.person+xml"/>
  <Override PartName="/xl/persons/person48.xml" ContentType="application/vnd.ms-excel.person+xml"/>
  <Override PartName="/xl/persons/person34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5.xml" ContentType="application/vnd.ms-excel.person+xml"/>
  <Override PartName="/xl/persons/person.xml" ContentType="application/vnd.ms-excel.person+xml"/>
  <Override PartName="/xl/persons/person43.xml" ContentType="application/vnd.ms-excel.person+xml"/>
  <Override PartName="/xl/persons/person36.xml" ContentType="application/vnd.ms-excel.person+xml"/>
  <Override PartName="/xl/persons/person13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21.xml" ContentType="application/vnd.ms-excel.person+xml"/>
  <Override PartName="/xl/persons/person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lmypalacios-my.sharepoint.com/personal/contadora_idalmypalacios_onmicrosoft_com/Documents/YOSSARLY/MIS DOCUMENTOS/PYK/2024/Estfros/Noviembre/"/>
    </mc:Choice>
  </mc:AlternateContent>
  <xr:revisionPtr revIDLastSave="319" documentId="8_{9F64644F-8671-44E5-82FC-BEFA03B5FA67}" xr6:coauthVersionLast="47" xr6:coauthVersionMax="47" xr10:uidLastSave="{1E473EFF-E371-471D-8C75-F4852C1CCECC}"/>
  <bookViews>
    <workbookView xWindow="-120" yWindow="-120" windowWidth="29040" windowHeight="15720" firstSheet="1" activeTab="2" xr2:uid="{8E7A32EE-77C1-49B1-AC05-7D92B0B48E95}"/>
  </bookViews>
  <sheets>
    <sheet name="202302M" sheetId="14" state="hidden" r:id="rId1"/>
    <sheet name="202401anual" sheetId="9" r:id="rId2"/>
    <sheet name="2024Ej" sheetId="10" r:id="rId3"/>
    <sheet name="202301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3" hidden="1">'202301'!$A$5:$S$89</definedName>
    <definedName name="_xlnm._FilterDatabase" localSheetId="0" hidden="1">'202302M'!$A$5:$AD$89</definedName>
    <definedName name="_xlnm._FilterDatabase" localSheetId="1" hidden="1">'202401anual'!$A$5:$O$145</definedName>
    <definedName name="_xlnm._FilterDatabase" localSheetId="2" hidden="1">'2024Ej'!$A$5:$AP$100</definedName>
    <definedName name="_xlnm.Print_Area" localSheetId="3">'202301'!$A$1:$S$89</definedName>
    <definedName name="_xlnm.Print_Area" localSheetId="0">'202302M'!$A$1:$AD$89</definedName>
    <definedName name="_xlnm.Print_Area" localSheetId="1">'202401anual'!$A$1:$O$145</definedName>
    <definedName name="_xlnm.Print_Area" localSheetId="2">'2024Ej'!$A$1:$AP$100</definedName>
    <definedName name="_xlnm.Print_Titles" localSheetId="3">'202301'!$1:$5</definedName>
    <definedName name="_xlnm.Print_Titles" localSheetId="0">'202302M'!$1:$5</definedName>
    <definedName name="_xlnm.Print_Titles" localSheetId="1">'202401anual'!$1:$5</definedName>
    <definedName name="_xlnm.Print_Titles" localSheetId="2">'2024Ej'!$1:$5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4" i="9" l="1"/>
  <c r="AW15" i="10"/>
  <c r="AH33" i="10" l="1"/>
  <c r="F153" i="9"/>
  <c r="E153" i="9"/>
  <c r="D153" i="9"/>
  <c r="C153" i="9"/>
  <c r="N153" i="9"/>
  <c r="M153" i="9"/>
  <c r="L153" i="9"/>
  <c r="K153" i="9"/>
  <c r="J153" i="9"/>
  <c r="I153" i="9"/>
  <c r="H153" i="9"/>
  <c r="G153" i="9"/>
  <c r="N57" i="9"/>
  <c r="E152" i="9"/>
  <c r="F152" i="9" s="1"/>
  <c r="G152" i="9" s="1"/>
  <c r="H152" i="9" s="1"/>
  <c r="I152" i="9" s="1"/>
  <c r="D152" i="9"/>
  <c r="C152" i="9"/>
  <c r="AH84" i="10"/>
  <c r="AI37" i="10"/>
  <c r="AS61" i="10"/>
  <c r="AV40" i="10"/>
  <c r="AW38" i="10"/>
  <c r="AW39" i="10"/>
  <c r="AV34" i="10"/>
  <c r="AH32" i="10"/>
  <c r="AX27" i="10"/>
  <c r="AR16" i="10"/>
  <c r="AQ129" i="10"/>
  <c r="AQ128" i="10"/>
  <c r="AQ127" i="10"/>
  <c r="AQ126" i="10"/>
  <c r="AQ125" i="10"/>
  <c r="AQ124" i="10"/>
  <c r="AQ123" i="10"/>
  <c r="AQ122" i="10"/>
  <c r="AQ121" i="10"/>
  <c r="AQ120" i="10"/>
  <c r="AQ119" i="10"/>
  <c r="AQ118" i="10"/>
  <c r="AQ117" i="10"/>
  <c r="AQ116" i="10"/>
  <c r="AQ115" i="10"/>
  <c r="AQ114" i="10"/>
  <c r="AQ113" i="10"/>
  <c r="AQ112" i="10"/>
  <c r="AQ111" i="10"/>
  <c r="AQ110" i="10"/>
  <c r="AQ109" i="10"/>
  <c r="AQ108" i="10"/>
  <c r="AQ107" i="10"/>
  <c r="AQ106" i="10"/>
  <c r="AQ105" i="10"/>
  <c r="AQ102" i="10"/>
  <c r="AQ101" i="10"/>
  <c r="AQ94" i="10"/>
  <c r="AQ93" i="10"/>
  <c r="AQ92" i="10"/>
  <c r="AQ91" i="10"/>
  <c r="AQ88" i="10"/>
  <c r="AQ80" i="10"/>
  <c r="AQ72" i="10"/>
  <c r="AQ68" i="10"/>
  <c r="AQ66" i="10"/>
  <c r="AQ61" i="10"/>
  <c r="AQ51" i="10"/>
  <c r="AQ47" i="10"/>
  <c r="AQ43" i="10"/>
  <c r="AQ42" i="10"/>
  <c r="AQ41" i="10"/>
  <c r="AQ35" i="10"/>
  <c r="AQ30" i="10"/>
  <c r="AQ26" i="10"/>
  <c r="AQ22" i="10"/>
  <c r="AQ21" i="10"/>
  <c r="AQ18" i="10"/>
  <c r="AQ16" i="10"/>
  <c r="AQ15" i="10"/>
  <c r="AQ14" i="10"/>
  <c r="AQ13" i="10"/>
  <c r="AQ12" i="10"/>
  <c r="AQ11" i="10"/>
  <c r="AQ10" i="10"/>
  <c r="AQ9" i="10"/>
  <c r="AQ8" i="10"/>
  <c r="AQ7" i="10"/>
  <c r="AQ6" i="10"/>
  <c r="AO6" i="10"/>
  <c r="AN6" i="10"/>
  <c r="AM6" i="10"/>
  <c r="AI96" i="10"/>
  <c r="AI95" i="10"/>
  <c r="AI94" i="10"/>
  <c r="AI93" i="10"/>
  <c r="AI92" i="10"/>
  <c r="AI91" i="10"/>
  <c r="AI90" i="10"/>
  <c r="AI89" i="10"/>
  <c r="AI81" i="10"/>
  <c r="AI80" i="10"/>
  <c r="AI76" i="10"/>
  <c r="AI75" i="10"/>
  <c r="AI74" i="10"/>
  <c r="AI72" i="10"/>
  <c r="AI71" i="10"/>
  <c r="AI70" i="10"/>
  <c r="AI68" i="10"/>
  <c r="AI67" i="10"/>
  <c r="AI66" i="10"/>
  <c r="AI63" i="10"/>
  <c r="AI47" i="10"/>
  <c r="AI43" i="10"/>
  <c r="AI42" i="10"/>
  <c r="AI41" i="10"/>
  <c r="AI40" i="10"/>
  <c r="AI38" i="10"/>
  <c r="AI8" i="10"/>
  <c r="AI10" i="10"/>
  <c r="AI11" i="10"/>
  <c r="AI12" i="10"/>
  <c r="AI13" i="10"/>
  <c r="AI14" i="10"/>
  <c r="AH29" i="10"/>
  <c r="AH25" i="10"/>
  <c r="AH17" i="10"/>
  <c r="AH62" i="10"/>
  <c r="AH44" i="10"/>
  <c r="AH97" i="10"/>
  <c r="AH55" i="10"/>
  <c r="AI55" i="10" s="1"/>
  <c r="AH45" i="10"/>
  <c r="AH49" i="10"/>
  <c r="AH48" i="10"/>
  <c r="AH82" i="10"/>
  <c r="AH40" i="10"/>
  <c r="AH60" i="10"/>
  <c r="AH34" i="10"/>
  <c r="AH23" i="10"/>
  <c r="AH57" i="10"/>
  <c r="AH19" i="10"/>
  <c r="AW21" i="10"/>
  <c r="AH79" i="10"/>
  <c r="AH65" i="10"/>
  <c r="AH56" i="10"/>
  <c r="AH54" i="10"/>
  <c r="AH59" i="10"/>
  <c r="AH53" i="10"/>
  <c r="AH69" i="10"/>
  <c r="AI69" i="10" s="1"/>
  <c r="AH78" i="10"/>
  <c r="AH77" i="10"/>
  <c r="AG52" i="10"/>
  <c r="AG80" i="10" l="1"/>
  <c r="AG76" i="10"/>
  <c r="AG75" i="10"/>
  <c r="AG71" i="10"/>
  <c r="AG69" i="10"/>
  <c r="AG68" i="10"/>
  <c r="AG66" i="10"/>
  <c r="AG63" i="10"/>
  <c r="AG62" i="10"/>
  <c r="AG61" i="10"/>
  <c r="AG60" i="10"/>
  <c r="AG58" i="10"/>
  <c r="AG57" i="10"/>
  <c r="AG55" i="10"/>
  <c r="AG43" i="10"/>
  <c r="AG41" i="10"/>
  <c r="AG40" i="10"/>
  <c r="AG38" i="10"/>
  <c r="AG37" i="10"/>
  <c r="AG32" i="10"/>
  <c r="AG31" i="10"/>
  <c r="AG29" i="10"/>
  <c r="AG25" i="10"/>
  <c r="AG21" i="10"/>
  <c r="AG17" i="10"/>
  <c r="AH10" i="10"/>
  <c r="AH13" i="10"/>
  <c r="AH9" i="10"/>
  <c r="AH14" i="10"/>
  <c r="AH12" i="10"/>
  <c r="AH11" i="10"/>
  <c r="AH6" i="10"/>
  <c r="AH8" i="10"/>
  <c r="AH7" i="10"/>
  <c r="AG7" i="10" l="1"/>
  <c r="AG8" i="10"/>
  <c r="AG9" i="10"/>
  <c r="AG10" i="10"/>
  <c r="AG11" i="10"/>
  <c r="AG12" i="10"/>
  <c r="AG6" i="10"/>
  <c r="S96" i="9"/>
  <c r="T94" i="9"/>
  <c r="S81" i="9"/>
  <c r="AE62" i="10"/>
  <c r="AE25" i="10"/>
  <c r="AE17" i="10"/>
  <c r="AE29" i="10"/>
  <c r="AF96" i="10"/>
  <c r="AF95" i="10"/>
  <c r="AF94" i="10"/>
  <c r="AF93" i="10"/>
  <c r="AF92" i="10"/>
  <c r="AF91" i="10"/>
  <c r="AF90" i="10"/>
  <c r="AF89" i="10"/>
  <c r="AF81" i="10"/>
  <c r="AF80" i="10"/>
  <c r="AF76" i="10"/>
  <c r="AF72" i="10"/>
  <c r="AF70" i="10"/>
  <c r="AF69" i="10"/>
  <c r="AF61" i="10"/>
  <c r="AF57" i="10"/>
  <c r="AF47" i="10"/>
  <c r="AF43" i="10"/>
  <c r="AF42" i="10"/>
  <c r="T14" i="10"/>
  <c r="AF13" i="10"/>
  <c r="AE10" i="10"/>
  <c r="AF10" i="10" s="1"/>
  <c r="AE9" i="10" l="1"/>
  <c r="AF9" i="10" s="1"/>
  <c r="AE14" i="10"/>
  <c r="AF14" i="10" s="1"/>
  <c r="AE6" i="10"/>
  <c r="AE8" i="10"/>
  <c r="AF8" i="10" s="1"/>
  <c r="AE7" i="10"/>
  <c r="AF7" i="10" s="1"/>
  <c r="AE12" i="10"/>
  <c r="AF12" i="10" s="1"/>
  <c r="AE11" i="10"/>
  <c r="AF11" i="10" s="1"/>
  <c r="AE71" i="10"/>
  <c r="AE44" i="10"/>
  <c r="AE60" i="10"/>
  <c r="AE82" i="10"/>
  <c r="AW33" i="10"/>
  <c r="AE33" i="10"/>
  <c r="AW37" i="10"/>
  <c r="AW36" i="10"/>
  <c r="AW35" i="10"/>
  <c r="AW34" i="10"/>
  <c r="AE23" i="10"/>
  <c r="AE56" i="10"/>
  <c r="AE75" i="10"/>
  <c r="AV22" i="10"/>
  <c r="AE20" i="10"/>
  <c r="AE55" i="10"/>
  <c r="B54" i="10"/>
  <c r="B53" i="10"/>
  <c r="B86" i="9"/>
  <c r="AD68" i="10"/>
  <c r="AF68" i="10" s="1"/>
  <c r="AD66" i="10"/>
  <c r="AF66" i="10" s="1"/>
  <c r="AD63" i="10"/>
  <c r="AF63" i="10" s="1"/>
  <c r="AD62" i="10"/>
  <c r="AD60" i="10"/>
  <c r="AD52" i="10"/>
  <c r="AF52" i="10" s="1"/>
  <c r="AD41" i="10"/>
  <c r="AF41" i="10" s="1"/>
  <c r="AD40" i="10"/>
  <c r="AF40" i="10" s="1"/>
  <c r="AD37" i="10"/>
  <c r="AF37" i="10" s="1"/>
  <c r="AD29" i="10"/>
  <c r="AD25" i="10"/>
  <c r="I13" i="9"/>
  <c r="P127" i="9"/>
  <c r="P126" i="9"/>
  <c r="P125" i="9"/>
  <c r="P122" i="9"/>
  <c r="P121" i="9"/>
  <c r="P113" i="9"/>
  <c r="P109" i="9"/>
  <c r="P103" i="9"/>
  <c r="P83" i="9"/>
  <c r="B13" i="9"/>
  <c r="O128" i="9"/>
  <c r="P128" i="9" s="1"/>
  <c r="O106" i="9"/>
  <c r="P106" i="9" s="1"/>
  <c r="P75" i="9"/>
  <c r="O72" i="9"/>
  <c r="O43" i="9"/>
  <c r="B37" i="9"/>
  <c r="H37" i="9"/>
  <c r="F37" i="9"/>
  <c r="E37" i="9"/>
  <c r="D37" i="9"/>
  <c r="C37" i="9"/>
  <c r="O38" i="9"/>
  <c r="B33" i="9"/>
  <c r="H33" i="9"/>
  <c r="O19" i="9"/>
  <c r="L23" i="9"/>
  <c r="B31" i="9"/>
  <c r="D148" i="9"/>
  <c r="E148" i="9"/>
  <c r="F148" i="9"/>
  <c r="L148" i="9"/>
  <c r="C148" i="9"/>
  <c r="AF60" i="10" l="1"/>
  <c r="AE16" i="10"/>
  <c r="AF62" i="10"/>
  <c r="B34" i="9" l="1"/>
  <c r="B130" i="9"/>
  <c r="B128" i="9"/>
  <c r="B101" i="9"/>
  <c r="B132" i="9"/>
  <c r="B99" i="9"/>
  <c r="B118" i="9"/>
  <c r="B66" i="9"/>
  <c r="B97" i="9"/>
  <c r="B107" i="9"/>
  <c r="B100" i="9"/>
  <c r="B138" i="9"/>
  <c r="B29" i="9"/>
  <c r="L135" i="9" l="1"/>
  <c r="AD49" i="10" s="1"/>
  <c r="AF49" i="10" s="1"/>
  <c r="L84" i="9"/>
  <c r="AD38" i="10" s="1"/>
  <c r="AF38" i="10" s="1"/>
  <c r="L71" i="9"/>
  <c r="L53" i="9"/>
  <c r="O53" i="9" s="1"/>
  <c r="L64" i="9"/>
  <c r="L65" i="9"/>
  <c r="L57" i="9"/>
  <c r="L56" i="9"/>
  <c r="L112" i="9"/>
  <c r="AD71" i="10" s="1"/>
  <c r="AF71" i="10" s="1"/>
  <c r="L89" i="9"/>
  <c r="AD55" i="10" s="1"/>
  <c r="AF55" i="10" s="1"/>
  <c r="L94" i="9"/>
  <c r="AD58" i="10" s="1"/>
  <c r="AF58" i="10" s="1"/>
  <c r="L107" i="9"/>
  <c r="AD67" i="10" s="1"/>
  <c r="AF67" i="10" s="1"/>
  <c r="L117" i="9"/>
  <c r="AD75" i="10" s="1"/>
  <c r="AF75" i="10" s="1"/>
  <c r="L42" i="9"/>
  <c r="L41" i="9"/>
  <c r="L40" i="9"/>
  <c r="L31" i="9"/>
  <c r="L25" i="9"/>
  <c r="AD21" i="10"/>
  <c r="AD17" i="10"/>
  <c r="AW18" i="10"/>
  <c r="AW19" i="10"/>
  <c r="AW20" i="10"/>
  <c r="AW22" i="10"/>
  <c r="AW23" i="10"/>
  <c r="AW24" i="10"/>
  <c r="AW25" i="10"/>
  <c r="AW26" i="10"/>
  <c r="AW27" i="10"/>
  <c r="AW17" i="10"/>
  <c r="AC81" i="10"/>
  <c r="AC75" i="10"/>
  <c r="AC72" i="10"/>
  <c r="AC15" i="10"/>
  <c r="AC47" i="10"/>
  <c r="AC42" i="10"/>
  <c r="AC76" i="10"/>
  <c r="AC80" i="10"/>
  <c r="AC14" i="10"/>
  <c r="AA68" i="10"/>
  <c r="AA52" i="10"/>
  <c r="AA41" i="10"/>
  <c r="AC41" i="10" s="1"/>
  <c r="AA37" i="10"/>
  <c r="AC37" i="10" s="1"/>
  <c r="AA29" i="10"/>
  <c r="AA25" i="10"/>
  <c r="AA17" i="10"/>
  <c r="AA8" i="10"/>
  <c r="AC8" i="10" s="1"/>
  <c r="AA9" i="10"/>
  <c r="AC9" i="10" s="1"/>
  <c r="AA10" i="10"/>
  <c r="AC10" i="10" s="1"/>
  <c r="AA11" i="10"/>
  <c r="AC11" i="10" s="1"/>
  <c r="AA12" i="10"/>
  <c r="AC12" i="10" s="1"/>
  <c r="AA13" i="10"/>
  <c r="AC13" i="10" s="1"/>
  <c r="AA7" i="10"/>
  <c r="AC7" i="10" s="1"/>
  <c r="AA6" i="10"/>
  <c r="J104" i="9"/>
  <c r="J138" i="9"/>
  <c r="K89" i="9"/>
  <c r="K101" i="9"/>
  <c r="J83" i="9"/>
  <c r="K85" i="9"/>
  <c r="K110" i="9"/>
  <c r="K136" i="9"/>
  <c r="K130" i="9"/>
  <c r="K129" i="9"/>
  <c r="AA95" i="10" s="1"/>
  <c r="K124" i="9"/>
  <c r="K120" i="9"/>
  <c r="AA46" i="10" s="1"/>
  <c r="K132" i="9"/>
  <c r="K93" i="9"/>
  <c r="AA40" i="10" s="1"/>
  <c r="AC40" i="10" s="1"/>
  <c r="K135" i="9"/>
  <c r="K104" i="9"/>
  <c r="K118" i="9"/>
  <c r="K114" i="9"/>
  <c r="AA45" i="10" s="1"/>
  <c r="AC45" i="10" s="1"/>
  <c r="K84" i="9"/>
  <c r="J135" i="9"/>
  <c r="J120" i="9"/>
  <c r="K91" i="9"/>
  <c r="K90" i="9"/>
  <c r="AA56" i="10" s="1"/>
  <c r="K94" i="9"/>
  <c r="AA58" i="10" s="1"/>
  <c r="K105" i="9"/>
  <c r="AA65" i="10" s="1"/>
  <c r="K102" i="9"/>
  <c r="AA64" i="10" s="1"/>
  <c r="K107" i="9"/>
  <c r="AA67" i="10" s="1"/>
  <c r="K100" i="9"/>
  <c r="AA63" i="10" s="1"/>
  <c r="K98" i="9"/>
  <c r="AA62" i="10" s="1"/>
  <c r="K96" i="9"/>
  <c r="AA60" i="10" s="1"/>
  <c r="K88" i="9"/>
  <c r="AA54" i="10" s="1"/>
  <c r="K86" i="9"/>
  <c r="AA53" i="10" s="1"/>
  <c r="K133" i="9"/>
  <c r="K139" i="9"/>
  <c r="AC83" i="10" s="1"/>
  <c r="K116" i="9"/>
  <c r="K138" i="9"/>
  <c r="AC82" i="10" s="1"/>
  <c r="K131" i="9"/>
  <c r="AA77" i="10" s="1"/>
  <c r="AC77" i="10" s="1"/>
  <c r="K115" i="9"/>
  <c r="AC73" i="10" s="1"/>
  <c r="K112" i="9"/>
  <c r="K142" i="9"/>
  <c r="K141" i="9"/>
  <c r="AA85" i="10" s="1"/>
  <c r="AC85" i="10" s="1"/>
  <c r="K78" i="9"/>
  <c r="K71" i="9"/>
  <c r="K68" i="9"/>
  <c r="K63" i="9"/>
  <c r="K66" i="9"/>
  <c r="K65" i="9"/>
  <c r="K57" i="9"/>
  <c r="K62" i="9"/>
  <c r="K60" i="9"/>
  <c r="K61" i="9"/>
  <c r="K56" i="9"/>
  <c r="K25" i="9"/>
  <c r="K39" i="9"/>
  <c r="K31" i="9"/>
  <c r="K15" i="9"/>
  <c r="AA86" i="10" l="1"/>
  <c r="AC86" i="10" s="1"/>
  <c r="AC43" i="10"/>
  <c r="O101" i="9"/>
  <c r="P101" i="9" s="1"/>
  <c r="AA48" i="10"/>
  <c r="AC48" i="10" s="1"/>
  <c r="AA71" i="10"/>
  <c r="AC71" i="10" s="1"/>
  <c r="AA49" i="10"/>
  <c r="AC49" i="10" s="1"/>
  <c r="O39" i="9"/>
  <c r="AA39" i="10"/>
  <c r="AC39" i="10" s="1"/>
  <c r="AA74" i="10"/>
  <c r="AC74" i="10" s="1"/>
  <c r="AA90" i="10"/>
  <c r="O124" i="9"/>
  <c r="P124" i="9" s="1"/>
  <c r="L37" i="9"/>
  <c r="AA78" i="10"/>
  <c r="AC78" i="10" s="1"/>
  <c r="AA96" i="10"/>
  <c r="O130" i="9"/>
  <c r="P130" i="9" s="1"/>
  <c r="K27" i="9"/>
  <c r="O31" i="9"/>
  <c r="AA38" i="10"/>
  <c r="AC38" i="10" s="1"/>
  <c r="K59" i="9"/>
  <c r="AA33" i="10" s="1"/>
  <c r="AA69" i="10"/>
  <c r="AC46" i="10"/>
  <c r="AC44" i="10"/>
  <c r="AB16" i="10"/>
  <c r="AA20" i="10" l="1"/>
  <c r="Y32" i="10"/>
  <c r="Z72" i="10" l="1"/>
  <c r="Z47" i="10"/>
  <c r="Z42" i="10"/>
  <c r="J89" i="9"/>
  <c r="X44" i="10"/>
  <c r="J93" i="9"/>
  <c r="J114" i="9"/>
  <c r="J78" i="9"/>
  <c r="J71" i="9"/>
  <c r="J68" i="9"/>
  <c r="J63" i="9"/>
  <c r="J65" i="9"/>
  <c r="J57" i="9"/>
  <c r="J61" i="9"/>
  <c r="J56" i="9"/>
  <c r="J119" i="9"/>
  <c r="J90" i="9"/>
  <c r="J111" i="9"/>
  <c r="J94" i="9"/>
  <c r="J105" i="9"/>
  <c r="J98" i="9"/>
  <c r="J96" i="9"/>
  <c r="J91" i="9"/>
  <c r="J88" i="9"/>
  <c r="J133" i="9"/>
  <c r="J139" i="9"/>
  <c r="J137" i="9"/>
  <c r="J116" i="9"/>
  <c r="J131" i="9"/>
  <c r="J115" i="9"/>
  <c r="J42" i="9"/>
  <c r="J41" i="9"/>
  <c r="J40" i="9"/>
  <c r="J132" i="9"/>
  <c r="J118" i="9"/>
  <c r="J84" i="9"/>
  <c r="J60" i="9"/>
  <c r="J107" i="9"/>
  <c r="J100" i="9"/>
  <c r="J86" i="9"/>
  <c r="J23" i="9"/>
  <c r="B84" i="9"/>
  <c r="B53" i="9"/>
  <c r="B64" i="9"/>
  <c r="B60" i="9"/>
  <c r="B112" i="9"/>
  <c r="B38" i="9"/>
  <c r="B89" i="9"/>
  <c r="B28" i="9"/>
  <c r="J37" i="9" l="1"/>
  <c r="K23" i="9"/>
  <c r="Z44" i="10"/>
  <c r="X81" i="10" l="1"/>
  <c r="Z81" i="10" s="1"/>
  <c r="X86" i="10"/>
  <c r="Z86" i="10" s="1"/>
  <c r="X85" i="10"/>
  <c r="Z85" i="10" s="1"/>
  <c r="X83" i="10"/>
  <c r="Z83" i="10" s="1"/>
  <c r="X82" i="10"/>
  <c r="Z82" i="10" s="1"/>
  <c r="X80" i="10"/>
  <c r="Z80" i="10" s="1"/>
  <c r="X78" i="10"/>
  <c r="Z78" i="10" s="1"/>
  <c r="X77" i="10"/>
  <c r="Z77" i="10" s="1"/>
  <c r="X76" i="10"/>
  <c r="Z76" i="10" s="1"/>
  <c r="X75" i="10"/>
  <c r="Z75" i="10" s="1"/>
  <c r="X74" i="10"/>
  <c r="Z74" i="10" s="1"/>
  <c r="X73" i="10"/>
  <c r="Z73" i="10" s="1"/>
  <c r="X71" i="10"/>
  <c r="Z71" i="10" s="1"/>
  <c r="X70" i="10"/>
  <c r="X69" i="10"/>
  <c r="X68" i="10"/>
  <c r="X67" i="10"/>
  <c r="X66" i="10"/>
  <c r="X65" i="10"/>
  <c r="X63" i="10"/>
  <c r="X62" i="10"/>
  <c r="X60" i="10"/>
  <c r="X58" i="10"/>
  <c r="X57" i="10"/>
  <c r="X56" i="10"/>
  <c r="X55" i="10"/>
  <c r="X54" i="10"/>
  <c r="X53" i="10"/>
  <c r="X49" i="10"/>
  <c r="Z49" i="10" s="1"/>
  <c r="X48" i="10"/>
  <c r="Z48" i="10" s="1"/>
  <c r="X46" i="10"/>
  <c r="Z46" i="10" s="1"/>
  <c r="X45" i="10"/>
  <c r="Z45" i="10" s="1"/>
  <c r="X43" i="10"/>
  <c r="Z43" i="10" s="1"/>
  <c r="X41" i="10"/>
  <c r="Z41" i="10" s="1"/>
  <c r="X40" i="10"/>
  <c r="Z40" i="10" s="1"/>
  <c r="X39" i="10"/>
  <c r="Z39" i="10" s="1"/>
  <c r="X38" i="10"/>
  <c r="Z38" i="10" s="1"/>
  <c r="X52" i="10"/>
  <c r="X37" i="10"/>
  <c r="Z37" i="10" s="1"/>
  <c r="X31" i="10"/>
  <c r="X29" i="10"/>
  <c r="Y27" i="10"/>
  <c r="X26" i="10"/>
  <c r="X25" i="10"/>
  <c r="X27" i="10" s="1"/>
  <c r="X21" i="10"/>
  <c r="X17" i="10"/>
  <c r="Z15" i="10"/>
  <c r="Z13" i="10"/>
  <c r="Y9" i="10"/>
  <c r="Y11" i="10"/>
  <c r="Y10" i="10"/>
  <c r="Y14" i="10"/>
  <c r="Z14" i="10" s="1"/>
  <c r="Y12" i="10"/>
  <c r="Y8" i="10"/>
  <c r="Y7" i="10"/>
  <c r="Y6" i="10"/>
  <c r="V21" i="10"/>
  <c r="Y16" i="10" l="1"/>
  <c r="V69" i="10"/>
  <c r="V62" i="10"/>
  <c r="V71" i="10"/>
  <c r="V44" i="10"/>
  <c r="V29" i="10"/>
  <c r="V25" i="10"/>
  <c r="V17" i="10"/>
  <c r="V97" i="10"/>
  <c r="W13" i="10"/>
  <c r="W14" i="10"/>
  <c r="W72" i="10"/>
  <c r="W75" i="10"/>
  <c r="W76" i="10"/>
  <c r="W81" i="10"/>
  <c r="W47" i="10"/>
  <c r="W43" i="10"/>
  <c r="W42" i="10"/>
  <c r="W41" i="10"/>
  <c r="W39" i="10"/>
  <c r="W38" i="10"/>
  <c r="V11" i="10"/>
  <c r="V12" i="10"/>
  <c r="V10" i="10"/>
  <c r="V7" i="10"/>
  <c r="V6" i="10"/>
  <c r="V8" i="10"/>
  <c r="V82" i="10"/>
  <c r="V32" i="10"/>
  <c r="V19" i="10"/>
  <c r="V77" i="10"/>
  <c r="U91" i="10"/>
  <c r="U86" i="10"/>
  <c r="W86" i="10" s="1"/>
  <c r="U85" i="10"/>
  <c r="W85" i="10" s="1"/>
  <c r="U52" i="10"/>
  <c r="U37" i="10"/>
  <c r="W37" i="10" s="1"/>
  <c r="U29" i="10"/>
  <c r="U25" i="10"/>
  <c r="I104" i="9"/>
  <c r="B27" i="9"/>
  <c r="I27" i="9"/>
  <c r="U20" i="10" s="1"/>
  <c r="I118" i="9"/>
  <c r="U48" i="10" s="1"/>
  <c r="W48" i="10" s="1"/>
  <c r="I140" i="9"/>
  <c r="U84" i="10" s="1"/>
  <c r="W84" i="10" s="1"/>
  <c r="I134" i="9"/>
  <c r="U79" i="10" s="1"/>
  <c r="W79" i="10" s="1"/>
  <c r="I95" i="9"/>
  <c r="U59" i="10" s="1"/>
  <c r="I34" i="9"/>
  <c r="I136" i="9"/>
  <c r="I120" i="9"/>
  <c r="U46" i="10" s="1"/>
  <c r="W46" i="10" s="1"/>
  <c r="I132" i="9"/>
  <c r="O132" i="9" s="1"/>
  <c r="P132" i="9" s="1"/>
  <c r="I99" i="9"/>
  <c r="I93" i="9"/>
  <c r="U40" i="10" s="1"/>
  <c r="W40" i="10" s="1"/>
  <c r="I135" i="9"/>
  <c r="U49" i="10" s="1"/>
  <c r="W49" i="10" s="1"/>
  <c r="I114" i="9"/>
  <c r="I90" i="9"/>
  <c r="U56" i="10" s="1"/>
  <c r="I89" i="9"/>
  <c r="I94" i="9"/>
  <c r="I97" i="9"/>
  <c r="I105" i="9"/>
  <c r="U65" i="10" s="1"/>
  <c r="I102" i="9"/>
  <c r="U64" i="10" s="1"/>
  <c r="I107" i="9"/>
  <c r="O107" i="9" s="1"/>
  <c r="P107" i="9" s="1"/>
  <c r="I100" i="9"/>
  <c r="I110" i="9"/>
  <c r="I98" i="9"/>
  <c r="U62" i="10" s="1"/>
  <c r="I96" i="9"/>
  <c r="I88" i="9"/>
  <c r="U54" i="10" s="1"/>
  <c r="I86" i="9"/>
  <c r="U53" i="10" s="1"/>
  <c r="I133" i="9"/>
  <c r="U78" i="10" s="1"/>
  <c r="W78" i="10" s="1"/>
  <c r="I139" i="9"/>
  <c r="U83" i="10" s="1"/>
  <c r="W83" i="10" s="1"/>
  <c r="I116" i="9"/>
  <c r="U74" i="10" s="1"/>
  <c r="W74" i="10" s="1"/>
  <c r="I138" i="9"/>
  <c r="U82" i="10" s="1"/>
  <c r="I112" i="9"/>
  <c r="I71" i="9"/>
  <c r="I77" i="9"/>
  <c r="I69" i="9"/>
  <c r="I68" i="9"/>
  <c r="I64" i="9"/>
  <c r="I66" i="9"/>
  <c r="O66" i="9" s="1"/>
  <c r="I65" i="9"/>
  <c r="I57" i="9"/>
  <c r="I61" i="9"/>
  <c r="I60" i="9"/>
  <c r="I56" i="9"/>
  <c r="I47" i="9"/>
  <c r="U26" i="10" s="1"/>
  <c r="I24" i="9"/>
  <c r="O24" i="9" s="1"/>
  <c r="I40" i="9"/>
  <c r="I37" i="9" s="1"/>
  <c r="I23" i="9"/>
  <c r="U17" i="10"/>
  <c r="U15" i="10"/>
  <c r="W15" i="10" s="1"/>
  <c r="U80" i="10" l="1"/>
  <c r="W80" i="10" s="1"/>
  <c r="U61" i="10"/>
  <c r="O97" i="9"/>
  <c r="P97" i="9" s="1"/>
  <c r="I33" i="9"/>
  <c r="O34" i="9"/>
  <c r="U71" i="10"/>
  <c r="U58" i="10"/>
  <c r="O94" i="9"/>
  <c r="P94" i="9" s="1"/>
  <c r="U60" i="10"/>
  <c r="O96" i="9"/>
  <c r="P96" i="9" s="1"/>
  <c r="U55" i="10"/>
  <c r="O89" i="9"/>
  <c r="P89" i="9" s="1"/>
  <c r="U69" i="10"/>
  <c r="O110" i="9"/>
  <c r="P110" i="9" s="1"/>
  <c r="U63" i="10"/>
  <c r="O100" i="9"/>
  <c r="P100" i="9" s="1"/>
  <c r="U27" i="10"/>
  <c r="W82" i="10"/>
  <c r="U44" i="10"/>
  <c r="W44" i="10" s="1"/>
  <c r="U45" i="10"/>
  <c r="W45" i="10" s="1"/>
  <c r="V16" i="10"/>
  <c r="U21" i="10" l="1"/>
  <c r="O33" i="9"/>
  <c r="N12" i="9"/>
  <c r="M12" i="9"/>
  <c r="L12" i="9"/>
  <c r="J12" i="9"/>
  <c r="X12" i="10" s="1"/>
  <c r="Z12" i="10" s="1"/>
  <c r="N11" i="9"/>
  <c r="M11" i="9"/>
  <c r="L11" i="9"/>
  <c r="J11" i="9"/>
  <c r="X11" i="10" s="1"/>
  <c r="Z11" i="10" s="1"/>
  <c r="N10" i="9"/>
  <c r="M10" i="9"/>
  <c r="L10" i="9"/>
  <c r="J10" i="9"/>
  <c r="X10" i="10" s="1"/>
  <c r="Z10" i="10" s="1"/>
  <c r="N9" i="9"/>
  <c r="M9" i="9"/>
  <c r="L9" i="9"/>
  <c r="J9" i="9"/>
  <c r="X9" i="10" s="1"/>
  <c r="Z9" i="10" s="1"/>
  <c r="N8" i="9"/>
  <c r="M8" i="9"/>
  <c r="L8" i="9"/>
  <c r="J8" i="9"/>
  <c r="X8" i="10" s="1"/>
  <c r="Z8" i="10" s="1"/>
  <c r="N7" i="9"/>
  <c r="M7" i="9"/>
  <c r="L7" i="9"/>
  <c r="J7" i="9"/>
  <c r="X7" i="10" s="1"/>
  <c r="Z7" i="10" s="1"/>
  <c r="N6" i="9"/>
  <c r="M6" i="9"/>
  <c r="L6" i="9"/>
  <c r="J6" i="9"/>
  <c r="X6" i="10" s="1"/>
  <c r="Z6" i="10" s="1"/>
  <c r="I12" i="9"/>
  <c r="U12" i="10" s="1"/>
  <c r="I11" i="9"/>
  <c r="U11" i="10" s="1"/>
  <c r="I10" i="9"/>
  <c r="U10" i="10" s="1"/>
  <c r="W10" i="10" s="1"/>
  <c r="I9" i="9"/>
  <c r="U9" i="10" s="1"/>
  <c r="W9" i="10" s="1"/>
  <c r="I8" i="9"/>
  <c r="U8" i="10" s="1"/>
  <c r="W8" i="10" s="1"/>
  <c r="I7" i="9"/>
  <c r="U7" i="10" s="1"/>
  <c r="I6" i="9"/>
  <c r="U6" i="10" s="1"/>
  <c r="H12" i="9"/>
  <c r="H11" i="9"/>
  <c r="H10" i="9"/>
  <c r="H9" i="9"/>
  <c r="H8" i="9"/>
  <c r="H7" i="9"/>
  <c r="H6" i="9"/>
  <c r="G12" i="9"/>
  <c r="G11" i="9"/>
  <c r="G10" i="9"/>
  <c r="G9" i="9"/>
  <c r="G8" i="9"/>
  <c r="G7" i="9"/>
  <c r="G6" i="9"/>
  <c r="F12" i="9"/>
  <c r="F11" i="9"/>
  <c r="F10" i="9"/>
  <c r="E12" i="9"/>
  <c r="E11" i="9"/>
  <c r="E10" i="9"/>
  <c r="E9" i="9"/>
  <c r="E8" i="9"/>
  <c r="E7" i="9"/>
  <c r="E6" i="9"/>
  <c r="D12" i="9"/>
  <c r="D11" i="9"/>
  <c r="D10" i="9"/>
  <c r="D9" i="9"/>
  <c r="D8" i="9"/>
  <c r="D7" i="9"/>
  <c r="D6" i="9"/>
  <c r="C7" i="9"/>
  <c r="C8" i="9"/>
  <c r="C9" i="9"/>
  <c r="C10" i="9"/>
  <c r="C11" i="9"/>
  <c r="C12" i="9"/>
  <c r="C6" i="9"/>
  <c r="R7" i="9" l="1"/>
  <c r="B14" i="9"/>
  <c r="B145" i="9" s="1"/>
  <c r="S57" i="10" l="1"/>
  <c r="S97" i="10"/>
  <c r="T47" i="10"/>
  <c r="T42" i="10"/>
  <c r="T39" i="10"/>
  <c r="T38" i="10"/>
  <c r="T76" i="10"/>
  <c r="T75" i="10"/>
  <c r="T72" i="10"/>
  <c r="T70" i="10"/>
  <c r="T68" i="10"/>
  <c r="T67" i="10"/>
  <c r="T61" i="10"/>
  <c r="S48" i="10"/>
  <c r="S33" i="10"/>
  <c r="S44" i="10"/>
  <c r="S37" i="10"/>
  <c r="S52" i="10"/>
  <c r="S29" i="10"/>
  <c r="S25" i="10"/>
  <c r="R26" i="10"/>
  <c r="R25" i="10"/>
  <c r="R27" i="10" s="1"/>
  <c r="R18" i="10"/>
  <c r="S82" i="10"/>
  <c r="S23" i="10"/>
  <c r="S60" i="10"/>
  <c r="E30" i="10"/>
  <c r="R53" i="10"/>
  <c r="T53" i="10" s="1"/>
  <c r="R37" i="10"/>
  <c r="T37" i="10" s="1"/>
  <c r="R62" i="10"/>
  <c r="T62" i="10" s="1"/>
  <c r="R41" i="10"/>
  <c r="T41" i="10" s="1"/>
  <c r="R43" i="10"/>
  <c r="T43" i="10" s="1"/>
  <c r="R74" i="10"/>
  <c r="T74" i="10" s="1"/>
  <c r="R48" i="10"/>
  <c r="R88" i="10"/>
  <c r="R85" i="10"/>
  <c r="T85" i="10" s="1"/>
  <c r="R84" i="10"/>
  <c r="T84" i="10" s="1"/>
  <c r="R82" i="10"/>
  <c r="R79" i="10"/>
  <c r="T79" i="10" s="1"/>
  <c r="R78" i="10"/>
  <c r="T78" i="10" s="1"/>
  <c r="R73" i="10"/>
  <c r="T73" i="10" s="1"/>
  <c r="R66" i="10"/>
  <c r="T66" i="10" s="1"/>
  <c r="R64" i="10"/>
  <c r="T64" i="10" s="1"/>
  <c r="R63" i="10"/>
  <c r="T63" i="10" s="1"/>
  <c r="R60" i="10"/>
  <c r="R59" i="10"/>
  <c r="T59" i="10" s="1"/>
  <c r="R57" i="10"/>
  <c r="R54" i="10"/>
  <c r="T54" i="10" s="1"/>
  <c r="R69" i="10"/>
  <c r="T69" i="10" s="1"/>
  <c r="R81" i="10"/>
  <c r="T81" i="10" s="1"/>
  <c r="R52" i="10"/>
  <c r="R22" i="10"/>
  <c r="Q22" i="10"/>
  <c r="Q21" i="10"/>
  <c r="N22" i="10"/>
  <c r="N21" i="10"/>
  <c r="R77" i="10"/>
  <c r="T77" i="10" s="1"/>
  <c r="R21" i="10"/>
  <c r="T82" i="10" l="1"/>
  <c r="T60" i="10"/>
  <c r="T48" i="10"/>
  <c r="T57" i="10"/>
  <c r="R71" i="10"/>
  <c r="T71" i="10" s="1"/>
  <c r="R40" i="10"/>
  <c r="T40" i="10" s="1"/>
  <c r="R49" i="10"/>
  <c r="T49" i="10" s="1"/>
  <c r="R80" i="10"/>
  <c r="T80" i="10" s="1"/>
  <c r="R65" i="10"/>
  <c r="T65" i="10" s="1"/>
  <c r="R55" i="10"/>
  <c r="T55" i="10" s="1"/>
  <c r="R83" i="10"/>
  <c r="T83" i="10" s="1"/>
  <c r="H71" i="9"/>
  <c r="H77" i="9"/>
  <c r="O77" i="9" s="1"/>
  <c r="P77" i="9" s="1"/>
  <c r="H68" i="9"/>
  <c r="H64" i="9"/>
  <c r="O64" i="9" s="1"/>
  <c r="H65" i="9"/>
  <c r="O65" i="9" s="1"/>
  <c r="H57" i="9"/>
  <c r="O57" i="9" s="1"/>
  <c r="H63" i="9"/>
  <c r="O63" i="9" s="1"/>
  <c r="H62" i="9"/>
  <c r="O62" i="9" s="1"/>
  <c r="H61" i="9"/>
  <c r="H56" i="9"/>
  <c r="S6" i="10"/>
  <c r="S7" i="10"/>
  <c r="S16" i="10" s="1"/>
  <c r="S10" i="10"/>
  <c r="S12" i="10"/>
  <c r="S11" i="10"/>
  <c r="S9" i="10"/>
  <c r="R13" i="10"/>
  <c r="M34" i="10" l="1"/>
  <c r="H7" i="10" l="1"/>
  <c r="H8" i="10"/>
  <c r="H9" i="10"/>
  <c r="H10" i="10"/>
  <c r="H11" i="10"/>
  <c r="H12" i="10"/>
  <c r="H13" i="10"/>
  <c r="H14" i="10"/>
  <c r="N14" i="10"/>
  <c r="Q72" i="10"/>
  <c r="Q13" i="10"/>
  <c r="Q14" i="10"/>
  <c r="Q15" i="10"/>
  <c r="M16" i="10"/>
  <c r="P60" i="10"/>
  <c r="P34" i="10"/>
  <c r="P33" i="10"/>
  <c r="P23" i="10"/>
  <c r="P7" i="10" l="1"/>
  <c r="P10" i="10"/>
  <c r="P12" i="10"/>
  <c r="P11" i="10"/>
  <c r="P9" i="10"/>
  <c r="P6" i="10"/>
  <c r="P16" i="10" l="1"/>
  <c r="O95" i="10"/>
  <c r="O94" i="10"/>
  <c r="O93" i="10"/>
  <c r="O92" i="10"/>
  <c r="O91" i="10"/>
  <c r="O90" i="10"/>
  <c r="O89" i="10"/>
  <c r="O88" i="10"/>
  <c r="O81" i="10"/>
  <c r="Q81" i="10" s="1"/>
  <c r="O80" i="10"/>
  <c r="Q80" i="10" s="1"/>
  <c r="O68" i="10"/>
  <c r="O67" i="10"/>
  <c r="O65" i="10"/>
  <c r="O63" i="10"/>
  <c r="O62" i="10"/>
  <c r="O61" i="10"/>
  <c r="O57" i="10"/>
  <c r="O56" i="10"/>
  <c r="O70" i="10"/>
  <c r="Q70" i="10" s="1"/>
  <c r="O58" i="10"/>
  <c r="O66" i="10"/>
  <c r="O71" i="10"/>
  <c r="Q71" i="10" s="1"/>
  <c r="O86" i="10"/>
  <c r="Q86" i="10" s="1"/>
  <c r="O77" i="10" l="1"/>
  <c r="Q77" i="10" s="1"/>
  <c r="R58" i="10"/>
  <c r="T58" i="10" s="1"/>
  <c r="O43" i="10"/>
  <c r="Q43" i="10" s="1"/>
  <c r="O42" i="10"/>
  <c r="Q42" i="10"/>
  <c r="Q47" i="10"/>
  <c r="O69" i="10"/>
  <c r="O55" i="10"/>
  <c r="P17" i="10"/>
  <c r="O75" i="10"/>
  <c r="Q75" i="10" s="1"/>
  <c r="O74" i="10"/>
  <c r="Q74" i="10" s="1"/>
  <c r="O96" i="10"/>
  <c r="O46" i="10"/>
  <c r="O40" i="10"/>
  <c r="Q40" i="10" s="1"/>
  <c r="O49" i="10"/>
  <c r="Q49" i="10" s="1"/>
  <c r="O44" i="10"/>
  <c r="Q48" i="10"/>
  <c r="G47" i="9"/>
  <c r="G20" i="9"/>
  <c r="O20" i="9" s="1"/>
  <c r="G22" i="9"/>
  <c r="G41" i="9"/>
  <c r="G37" i="9" s="1"/>
  <c r="G30" i="9"/>
  <c r="O30" i="9" s="1"/>
  <c r="G29" i="9"/>
  <c r="O29" i="9" s="1"/>
  <c r="G28" i="9"/>
  <c r="O28" i="9" s="1"/>
  <c r="G23" i="9"/>
  <c r="O26" i="10" l="1"/>
  <c r="O47" i="9"/>
  <c r="Q26" i="10"/>
  <c r="Q46" i="10"/>
  <c r="P44" i="10"/>
  <c r="P24" i="10"/>
  <c r="P62" i="10"/>
  <c r="P29" i="10"/>
  <c r="P36" i="10" s="1"/>
  <c r="P25" i="10"/>
  <c r="M44" i="10"/>
  <c r="L88" i="10"/>
  <c r="Q44" i="10" l="1"/>
  <c r="P50" i="10"/>
  <c r="L57" i="10"/>
  <c r="L76" i="10"/>
  <c r="L56" i="10"/>
  <c r="L58" i="10"/>
  <c r="N48" i="10" l="1"/>
  <c r="N46" i="10"/>
  <c r="N45" i="10"/>
  <c r="N44" i="10"/>
  <c r="N72" i="10"/>
  <c r="N76" i="10"/>
  <c r="N77" i="10"/>
  <c r="N86" i="10"/>
  <c r="M79" i="10"/>
  <c r="M62" i="10"/>
  <c r="M60" i="10" l="1"/>
  <c r="M82" i="10"/>
  <c r="M55" i="10"/>
  <c r="L91" i="10"/>
  <c r="L90" i="10"/>
  <c r="L89" i="10"/>
  <c r="L80" i="10"/>
  <c r="N80" i="10" s="1"/>
  <c r="L75" i="10"/>
  <c r="N75" i="10" s="1"/>
  <c r="L68" i="10"/>
  <c r="L67" i="10"/>
  <c r="L66" i="10"/>
  <c r="L63" i="10"/>
  <c r="L62" i="10"/>
  <c r="L61" i="10"/>
  <c r="L43" i="10"/>
  <c r="N43" i="10" s="1"/>
  <c r="L42" i="10"/>
  <c r="N42" i="10" s="1"/>
  <c r="L41" i="10"/>
  <c r="N41" i="10" s="1"/>
  <c r="L40" i="10"/>
  <c r="N40" i="10" s="1"/>
  <c r="L26" i="10"/>
  <c r="L13" i="10"/>
  <c r="N13" i="10" s="1"/>
  <c r="F62" i="9"/>
  <c r="F61" i="9"/>
  <c r="F60" i="9"/>
  <c r="F57" i="9"/>
  <c r="F56" i="9"/>
  <c r="E68" i="9"/>
  <c r="E65" i="9"/>
  <c r="E64" i="9"/>
  <c r="E62" i="9"/>
  <c r="E61" i="9"/>
  <c r="E60" i="9"/>
  <c r="E57" i="9"/>
  <c r="E56" i="9"/>
  <c r="AN13" i="10" l="1"/>
  <c r="I26" i="10"/>
  <c r="J50" i="10" l="1"/>
  <c r="J27" i="10"/>
  <c r="K13" i="10"/>
  <c r="K14" i="10"/>
  <c r="J16" i="10"/>
  <c r="B15" i="10" l="1"/>
  <c r="B52" i="10"/>
  <c r="Q79" i="9"/>
  <c r="Q70" i="9"/>
  <c r="Q58" i="9"/>
  <c r="Q54" i="9"/>
  <c r="Q44" i="9"/>
  <c r="B71" i="10"/>
  <c r="B85" i="9" l="1"/>
  <c r="B39" i="10" s="1"/>
  <c r="B62" i="9"/>
  <c r="B117" i="9"/>
  <c r="B75" i="10" s="1"/>
  <c r="Q53" i="9"/>
  <c r="B142" i="9"/>
  <c r="B86" i="10" s="1"/>
  <c r="B124" i="9"/>
  <c r="B90" i="10" s="1"/>
  <c r="M123" i="9"/>
  <c r="B123" i="9"/>
  <c r="B89" i="10" s="1"/>
  <c r="B120" i="9"/>
  <c r="B46" i="10" s="1"/>
  <c r="B47" i="10"/>
  <c r="M99" i="9"/>
  <c r="O99" i="9" s="1"/>
  <c r="P99" i="9" s="1"/>
  <c r="B42" i="10"/>
  <c r="B135" i="9"/>
  <c r="B49" i="10" s="1"/>
  <c r="B48" i="10"/>
  <c r="B114" i="9"/>
  <c r="B45" i="10" s="1"/>
  <c r="B38" i="10"/>
  <c r="Q72" i="9"/>
  <c r="B72" i="9"/>
  <c r="N71" i="9"/>
  <c r="M71" i="9"/>
  <c r="O71" i="9" s="1"/>
  <c r="B71" i="9"/>
  <c r="B68" i="9"/>
  <c r="M65" i="9"/>
  <c r="N65" i="9" s="1"/>
  <c r="B65" i="9"/>
  <c r="B57" i="9"/>
  <c r="B61" i="9"/>
  <c r="B56" i="9"/>
  <c r="B55" i="9" s="1"/>
  <c r="B55" i="10"/>
  <c r="B119" i="9"/>
  <c r="B76" i="10" s="1"/>
  <c r="B67" i="10"/>
  <c r="B94" i="9"/>
  <c r="B58" i="10" s="1"/>
  <c r="M116" i="9"/>
  <c r="L116" i="9"/>
  <c r="L74" i="10"/>
  <c r="N74" i="10" s="1"/>
  <c r="I74" i="10"/>
  <c r="K74" i="10" s="1"/>
  <c r="B116" i="9"/>
  <c r="B74" i="10" s="1"/>
  <c r="E25" i="9"/>
  <c r="B25" i="9"/>
  <c r="B39" i="9"/>
  <c r="B22" i="9"/>
  <c r="B90" i="9"/>
  <c r="B56" i="10" s="1"/>
  <c r="I81" i="10"/>
  <c r="K81" i="10" s="1"/>
  <c r="I80" i="10"/>
  <c r="K80" i="10" s="1"/>
  <c r="I77" i="10"/>
  <c r="K77" i="10" s="1"/>
  <c r="I75" i="10"/>
  <c r="K75" i="10" s="1"/>
  <c r="I71" i="10"/>
  <c r="I70" i="10"/>
  <c r="I69" i="10"/>
  <c r="I68" i="10"/>
  <c r="I67" i="10"/>
  <c r="I66" i="10"/>
  <c r="I63" i="10"/>
  <c r="I62" i="10"/>
  <c r="I61" i="10"/>
  <c r="I60" i="10"/>
  <c r="I58" i="10"/>
  <c r="I55" i="10"/>
  <c r="I43" i="10"/>
  <c r="K43" i="10" s="1"/>
  <c r="I42" i="10"/>
  <c r="K42" i="10" s="1"/>
  <c r="I41" i="10"/>
  <c r="K41" i="10" s="1"/>
  <c r="I40" i="10"/>
  <c r="K40" i="10" s="1"/>
  <c r="I22" i="10"/>
  <c r="I21" i="10"/>
  <c r="I18" i="10"/>
  <c r="I15" i="10"/>
  <c r="K15" i="10" s="1"/>
  <c r="AM13" i="10"/>
  <c r="AO13" i="10" s="1"/>
  <c r="AN14" i="10"/>
  <c r="AN15" i="10"/>
  <c r="AM14" i="10"/>
  <c r="E13" i="10"/>
  <c r="E14" i="10"/>
  <c r="E15" i="10"/>
  <c r="AD74" i="10" l="1"/>
  <c r="AF74" i="10" s="1"/>
  <c r="O116" i="9"/>
  <c r="P116" i="9" s="1"/>
  <c r="AM15" i="10"/>
  <c r="AO15" i="10" s="1"/>
  <c r="AP13" i="10"/>
  <c r="B17" i="9"/>
  <c r="B19" i="10" s="1"/>
  <c r="AO14" i="10"/>
  <c r="B59" i="9"/>
  <c r="B33" i="10" s="1"/>
  <c r="AN12" i="10"/>
  <c r="AN11" i="10"/>
  <c r="AN10" i="10"/>
  <c r="AN9" i="10"/>
  <c r="AN8" i="10"/>
  <c r="AN7" i="10"/>
  <c r="AP15" i="10" l="1"/>
  <c r="AP14" i="10"/>
  <c r="AN16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AN38" i="10"/>
  <c r="AN39" i="10"/>
  <c r="AN40" i="10"/>
  <c r="AN41" i="10"/>
  <c r="AN42" i="10"/>
  <c r="AN43" i="10"/>
  <c r="AN44" i="10"/>
  <c r="AN45" i="10"/>
  <c r="AN46" i="10"/>
  <c r="AN47" i="10"/>
  <c r="AN48" i="10"/>
  <c r="AM40" i="10"/>
  <c r="AM42" i="10"/>
  <c r="AM43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AO43" i="10" l="1"/>
  <c r="AO40" i="10"/>
  <c r="AQ40" i="10" s="1"/>
  <c r="AO42" i="10"/>
  <c r="AP43" i="10" l="1"/>
  <c r="AP42" i="10"/>
  <c r="AP40" i="10"/>
  <c r="A38" i="10"/>
  <c r="H15" i="10"/>
  <c r="F16" i="10" l="1"/>
  <c r="F24" i="10"/>
  <c r="F27" i="10"/>
  <c r="F36" i="10"/>
  <c r="F97" i="10"/>
  <c r="AN49" i="10"/>
  <c r="F28" i="10" l="1"/>
  <c r="D34" i="10"/>
  <c r="D23" i="10"/>
  <c r="D64" i="10" l="1"/>
  <c r="AN85" i="10" l="1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K16" i="10" l="1"/>
  <c r="AJ16" i="10"/>
  <c r="AH16" i="10"/>
  <c r="AG16" i="10"/>
  <c r="AD16" i="10"/>
  <c r="X16" i="10"/>
  <c r="U16" i="10"/>
  <c r="G16" i="10"/>
  <c r="C16" i="10"/>
  <c r="B16" i="10"/>
  <c r="D16" i="10"/>
  <c r="E11" i="10"/>
  <c r="E12" i="10"/>
  <c r="D50" i="10"/>
  <c r="D86" i="10"/>
  <c r="E43" i="10"/>
  <c r="E38" i="10"/>
  <c r="J87" i="10"/>
  <c r="M87" i="10"/>
  <c r="P87" i="10"/>
  <c r="S87" i="10"/>
  <c r="V87" i="10"/>
  <c r="Y87" i="10"/>
  <c r="AB87" i="10"/>
  <c r="AE87" i="10"/>
  <c r="AH87" i="10"/>
  <c r="AK87" i="10"/>
  <c r="AM91" i="10"/>
  <c r="AM92" i="10"/>
  <c r="D97" i="10"/>
  <c r="G97" i="10"/>
  <c r="I97" i="10"/>
  <c r="J97" i="10"/>
  <c r="M97" i="10"/>
  <c r="P97" i="10"/>
  <c r="U97" i="10"/>
  <c r="X97" i="10"/>
  <c r="Y97" i="10"/>
  <c r="AB97" i="10"/>
  <c r="AE97" i="10"/>
  <c r="AG97" i="10"/>
  <c r="AJ97" i="10"/>
  <c r="AK97" i="10"/>
  <c r="G50" i="10"/>
  <c r="H50" i="10"/>
  <c r="S50" i="10"/>
  <c r="U50" i="10"/>
  <c r="V50" i="10"/>
  <c r="W50" i="10"/>
  <c r="X50" i="10"/>
  <c r="Y50" i="10"/>
  <c r="Z50" i="10"/>
  <c r="AA50" i="10"/>
  <c r="AB50" i="10"/>
  <c r="AC50" i="10"/>
  <c r="AE50" i="10"/>
  <c r="AH50" i="10"/>
  <c r="AJ50" i="10"/>
  <c r="AK50" i="10"/>
  <c r="AL50" i="10"/>
  <c r="AM93" i="10"/>
  <c r="AM94" i="10"/>
  <c r="AM96" i="10"/>
  <c r="AM55" i="10"/>
  <c r="AM58" i="10"/>
  <c r="E60" i="10"/>
  <c r="E61" i="10"/>
  <c r="E62" i="10"/>
  <c r="E63" i="10"/>
  <c r="E66" i="10"/>
  <c r="AM67" i="10"/>
  <c r="AM68" i="10"/>
  <c r="E69" i="10"/>
  <c r="E70" i="10"/>
  <c r="E71" i="10"/>
  <c r="E72" i="10"/>
  <c r="E74" i="10"/>
  <c r="E75" i="10"/>
  <c r="E76" i="10"/>
  <c r="E77" i="10"/>
  <c r="AM80" i="10"/>
  <c r="AO80" i="10" s="1"/>
  <c r="E42" i="10"/>
  <c r="E47" i="10"/>
  <c r="A41" i="10"/>
  <c r="A40" i="10"/>
  <c r="A42" i="10"/>
  <c r="A43" i="10"/>
  <c r="A44" i="10"/>
  <c r="A45" i="10"/>
  <c r="A46" i="10"/>
  <c r="A47" i="10"/>
  <c r="A48" i="10"/>
  <c r="A49" i="10"/>
  <c r="A39" i="10"/>
  <c r="H61" i="10"/>
  <c r="K61" i="10"/>
  <c r="N61" i="10"/>
  <c r="Q61" i="10"/>
  <c r="W61" i="10"/>
  <c r="X61" i="10"/>
  <c r="Z61" i="10" s="1"/>
  <c r="AC61" i="10"/>
  <c r="AI61" i="10"/>
  <c r="AL61" i="10"/>
  <c r="AN61" i="10"/>
  <c r="H69" i="10"/>
  <c r="K69" i="10"/>
  <c r="N69" i="10"/>
  <c r="Q69" i="10"/>
  <c r="W69" i="10"/>
  <c r="Z69" i="10"/>
  <c r="AC69" i="10"/>
  <c r="AJ69" i="10"/>
  <c r="AL69" i="10" s="1"/>
  <c r="AN69" i="10"/>
  <c r="A96" i="10"/>
  <c r="A89" i="10"/>
  <c r="A90" i="10"/>
  <c r="A91" i="10"/>
  <c r="A92" i="10"/>
  <c r="A93" i="10"/>
  <c r="A94" i="10"/>
  <c r="A88" i="10"/>
  <c r="I131" i="9"/>
  <c r="I57" i="10"/>
  <c r="AM57" i="10" s="1"/>
  <c r="O111" i="9"/>
  <c r="P111" i="9" s="1"/>
  <c r="Q97" i="9"/>
  <c r="O98" i="9"/>
  <c r="Q99" i="9"/>
  <c r="Q100" i="9"/>
  <c r="Q101" i="9"/>
  <c r="O117" i="9"/>
  <c r="O121" i="9"/>
  <c r="Q121" i="9" s="1"/>
  <c r="I82" i="10"/>
  <c r="K82" i="10" s="1"/>
  <c r="O129" i="9"/>
  <c r="Q130" i="9"/>
  <c r="O122" i="9"/>
  <c r="Q122" i="9" s="1"/>
  <c r="O123" i="9"/>
  <c r="Q124" i="9"/>
  <c r="O125" i="9"/>
  <c r="Q125" i="9" s="1"/>
  <c r="O126" i="9"/>
  <c r="Q126" i="9" s="1"/>
  <c r="O127" i="9"/>
  <c r="Q127" i="9" s="1"/>
  <c r="Q128" i="9"/>
  <c r="L47" i="10"/>
  <c r="N47" i="10" s="1"/>
  <c r="I47" i="10"/>
  <c r="C55" i="9"/>
  <c r="D55" i="9"/>
  <c r="E55" i="9"/>
  <c r="I32" i="10" s="1"/>
  <c r="F55" i="9"/>
  <c r="L32" i="10" s="1"/>
  <c r="G55" i="9"/>
  <c r="O32" i="10" s="1"/>
  <c r="H55" i="9"/>
  <c r="R32" i="10" s="1"/>
  <c r="I55" i="9"/>
  <c r="U32" i="10" s="1"/>
  <c r="J55" i="9"/>
  <c r="X32" i="10" s="1"/>
  <c r="K55" i="9"/>
  <c r="AA32" i="10" s="1"/>
  <c r="L55" i="9"/>
  <c r="AD32" i="10" s="1"/>
  <c r="M55" i="9"/>
  <c r="N55" i="9"/>
  <c r="C52" i="9"/>
  <c r="D52" i="9"/>
  <c r="E52" i="9"/>
  <c r="I31" i="10" s="1"/>
  <c r="F52" i="9"/>
  <c r="L31" i="10" s="1"/>
  <c r="H52" i="9"/>
  <c r="I52" i="9"/>
  <c r="J52" i="9"/>
  <c r="K52" i="9"/>
  <c r="L52" i="9"/>
  <c r="AD31" i="10" s="1"/>
  <c r="M52" i="9"/>
  <c r="N52" i="9"/>
  <c r="C50" i="9"/>
  <c r="D50" i="9" s="1"/>
  <c r="Q77" i="9"/>
  <c r="O76" i="9"/>
  <c r="O75" i="9"/>
  <c r="Q75" i="9" s="1"/>
  <c r="O74" i="9"/>
  <c r="O67" i="9"/>
  <c r="Q67" i="9" s="1"/>
  <c r="O69" i="9"/>
  <c r="Q69" i="9" s="1"/>
  <c r="Q71" i="9"/>
  <c r="Q76" i="9" l="1"/>
  <c r="P76" i="9"/>
  <c r="Q74" i="9"/>
  <c r="P74" i="9"/>
  <c r="Q123" i="9"/>
  <c r="P123" i="9"/>
  <c r="Q129" i="9"/>
  <c r="P129" i="9"/>
  <c r="Q117" i="9"/>
  <c r="P117" i="9"/>
  <c r="Q98" i="9"/>
  <c r="P98" i="9"/>
  <c r="L131" i="9"/>
  <c r="U77" i="10"/>
  <c r="W77" i="10" s="1"/>
  <c r="S98" i="10"/>
  <c r="AB98" i="10"/>
  <c r="I46" i="10"/>
  <c r="AP80" i="10"/>
  <c r="E50" i="9"/>
  <c r="I29" i="10"/>
  <c r="K47" i="10"/>
  <c r="AM47" i="10"/>
  <c r="AO47" i="10" s="1"/>
  <c r="AP47" i="10" s="1"/>
  <c r="P98" i="10"/>
  <c r="AE98" i="10"/>
  <c r="AH98" i="10"/>
  <c r="AN86" i="10"/>
  <c r="D87" i="10"/>
  <c r="D98" i="10" s="1"/>
  <c r="E86" i="10"/>
  <c r="AM66" i="10"/>
  <c r="V98" i="10"/>
  <c r="AK98" i="10"/>
  <c r="E46" i="10"/>
  <c r="E82" i="10"/>
  <c r="E81" i="10"/>
  <c r="E58" i="10"/>
  <c r="J98" i="10"/>
  <c r="AM69" i="10"/>
  <c r="AO69" i="10" s="1"/>
  <c r="AP69" i="10" s="1"/>
  <c r="Y98" i="10"/>
  <c r="E57" i="10"/>
  <c r="C97" i="10"/>
  <c r="E80" i="10"/>
  <c r="E68" i="10"/>
  <c r="E67" i="10"/>
  <c r="E55" i="10"/>
  <c r="AM75" i="10"/>
  <c r="AO75" i="10" s="1"/>
  <c r="AQ75" i="10" s="1"/>
  <c r="AM63" i="10"/>
  <c r="E40" i="10"/>
  <c r="AM74" i="10"/>
  <c r="AO74" i="10" s="1"/>
  <c r="AQ74" i="10" s="1"/>
  <c r="AM62" i="10"/>
  <c r="E41" i="10"/>
  <c r="AM61" i="10"/>
  <c r="AO61" i="10" s="1"/>
  <c r="AP61" i="10" s="1"/>
  <c r="AM60" i="10"/>
  <c r="AM72" i="10"/>
  <c r="Q132" i="9"/>
  <c r="Q89" i="9"/>
  <c r="Q116" i="9"/>
  <c r="O52" i="9"/>
  <c r="Q52" i="9" s="1"/>
  <c r="M64" i="9"/>
  <c r="Q57" i="9"/>
  <c r="Q63" i="9"/>
  <c r="Q66" i="9"/>
  <c r="Q62" i="9"/>
  <c r="L61" i="9"/>
  <c r="D60" i="9"/>
  <c r="O56" i="9"/>
  <c r="D47" i="9"/>
  <c r="AQ69" i="10" l="1"/>
  <c r="M131" i="9"/>
  <c r="AD77" i="10"/>
  <c r="AF77" i="10" s="1"/>
  <c r="M61" i="9"/>
  <c r="O61" i="9"/>
  <c r="Q61" i="9" s="1"/>
  <c r="Q56" i="9"/>
  <c r="O55" i="9"/>
  <c r="Q55" i="9" s="1"/>
  <c r="K46" i="10"/>
  <c r="L82" i="10"/>
  <c r="F50" i="9"/>
  <c r="AP75" i="10"/>
  <c r="AP74" i="10"/>
  <c r="I86" i="10"/>
  <c r="Q64" i="9"/>
  <c r="N131" i="9" l="1"/>
  <c r="AG77" i="10"/>
  <c r="O131" i="9"/>
  <c r="P131" i="9" s="1"/>
  <c r="O82" i="10"/>
  <c r="Q82" i="10" s="1"/>
  <c r="O29" i="10"/>
  <c r="Q29" i="10" s="1"/>
  <c r="H50" i="9"/>
  <c r="L29" i="10"/>
  <c r="K86" i="10"/>
  <c r="N82" i="10"/>
  <c r="C17" i="9"/>
  <c r="G25" i="9"/>
  <c r="I25" i="9" s="1"/>
  <c r="J25" i="9" s="1"/>
  <c r="D25" i="9"/>
  <c r="D17" i="9" s="1"/>
  <c r="K40" i="9"/>
  <c r="G40" i="9"/>
  <c r="D40" i="9"/>
  <c r="O26" i="9"/>
  <c r="Q30" i="9"/>
  <c r="O32" i="9"/>
  <c r="Q33" i="9"/>
  <c r="O35" i="9"/>
  <c r="O36" i="9"/>
  <c r="Q36" i="9" s="1"/>
  <c r="Q38" i="9"/>
  <c r="Q39" i="9"/>
  <c r="Q19" i="9"/>
  <c r="Q20" i="9"/>
  <c r="O21" i="9"/>
  <c r="Q21" i="9" s="1"/>
  <c r="O22" i="9"/>
  <c r="Q22" i="9" s="1"/>
  <c r="Q24" i="9"/>
  <c r="D15" i="9"/>
  <c r="E15" i="9" s="1"/>
  <c r="I6" i="10"/>
  <c r="L6" i="10"/>
  <c r="O6" i="10"/>
  <c r="R6" i="10"/>
  <c r="I7" i="10"/>
  <c r="K7" i="10" s="1"/>
  <c r="L7" i="10"/>
  <c r="N7" i="10" s="1"/>
  <c r="O7" i="10"/>
  <c r="Q7" i="10" s="1"/>
  <c r="R7" i="10"/>
  <c r="I8" i="10"/>
  <c r="K8" i="10" s="1"/>
  <c r="L8" i="10"/>
  <c r="N8" i="10" s="1"/>
  <c r="O8" i="10"/>
  <c r="Q8" i="10" s="1"/>
  <c r="R8" i="10"/>
  <c r="T8" i="10" s="1"/>
  <c r="I9" i="10"/>
  <c r="K9" i="10" s="1"/>
  <c r="L9" i="10"/>
  <c r="N9" i="10" s="1"/>
  <c r="O9" i="10"/>
  <c r="Q9" i="10" s="1"/>
  <c r="R9" i="10"/>
  <c r="I10" i="10"/>
  <c r="K10" i="10" s="1"/>
  <c r="L10" i="10"/>
  <c r="N10" i="10" s="1"/>
  <c r="O10" i="10"/>
  <c r="Q10" i="10" s="1"/>
  <c r="R10" i="10"/>
  <c r="I11" i="10"/>
  <c r="K11" i="10" s="1"/>
  <c r="L11" i="10"/>
  <c r="N11" i="10" s="1"/>
  <c r="O11" i="10"/>
  <c r="Q11" i="10" s="1"/>
  <c r="R11" i="10"/>
  <c r="I12" i="10"/>
  <c r="K12" i="10" s="1"/>
  <c r="L12" i="10"/>
  <c r="N12" i="10" s="1"/>
  <c r="O12" i="10"/>
  <c r="Q12" i="10" s="1"/>
  <c r="R12" i="10"/>
  <c r="P54" i="9"/>
  <c r="P58" i="9"/>
  <c r="P146" i="9"/>
  <c r="P147" i="9"/>
  <c r="P152" i="9"/>
  <c r="P153" i="9"/>
  <c r="P154" i="9"/>
  <c r="P155" i="9"/>
  <c r="AM77" i="10" l="1"/>
  <c r="AO77" i="10" s="1"/>
  <c r="AI77" i="10"/>
  <c r="M40" i="9"/>
  <c r="N40" i="9" s="1"/>
  <c r="I50" i="9"/>
  <c r="J50" i="9" s="1"/>
  <c r="K50" i="9" s="1"/>
  <c r="L50" i="9" s="1"/>
  <c r="M50" i="9" s="1"/>
  <c r="N50" i="9" s="1"/>
  <c r="R29" i="10"/>
  <c r="L120" i="9"/>
  <c r="R46" i="10"/>
  <c r="I142" i="9"/>
  <c r="J142" i="9" s="1"/>
  <c r="L142" i="9" s="1"/>
  <c r="R86" i="10"/>
  <c r="L138" i="9"/>
  <c r="R16" i="10"/>
  <c r="O16" i="10"/>
  <c r="F15" i="9"/>
  <c r="I17" i="10"/>
  <c r="P32" i="9"/>
  <c r="Q32" i="9"/>
  <c r="P26" i="9"/>
  <c r="Q26" i="9"/>
  <c r="P35" i="9"/>
  <c r="Q35" i="9"/>
  <c r="P43" i="9"/>
  <c r="Q43" i="9"/>
  <c r="L16" i="10"/>
  <c r="I16" i="10"/>
  <c r="E9" i="10"/>
  <c r="AM9" i="10"/>
  <c r="AM10" i="10"/>
  <c r="E10" i="10"/>
  <c r="E8" i="10"/>
  <c r="AM8" i="10"/>
  <c r="AO8" i="10" s="1"/>
  <c r="AP8" i="10" s="1"/>
  <c r="E7" i="10"/>
  <c r="AM7" i="10"/>
  <c r="AM11" i="10"/>
  <c r="O10" i="9"/>
  <c r="Q10" i="9" s="1"/>
  <c r="O9" i="9"/>
  <c r="K14" i="9"/>
  <c r="O12" i="9"/>
  <c r="O13" i="9"/>
  <c r="Q13" i="9" s="1"/>
  <c r="L14" i="9"/>
  <c r="J14" i="9"/>
  <c r="H14" i="9"/>
  <c r="O11" i="9"/>
  <c r="Q11" i="9" s="1"/>
  <c r="F14" i="9"/>
  <c r="I14" i="9"/>
  <c r="G14" i="9"/>
  <c r="E14" i="9"/>
  <c r="N14" i="9"/>
  <c r="M14" i="9"/>
  <c r="O7" i="9"/>
  <c r="Q7" i="9" s="1"/>
  <c r="O8" i="9"/>
  <c r="Q8" i="9" s="1"/>
  <c r="M25" i="9"/>
  <c r="AQ77" i="10" l="1"/>
  <c r="AP77" i="10"/>
  <c r="M142" i="9"/>
  <c r="AD86" i="10"/>
  <c r="AF86" i="10" s="1"/>
  <c r="M138" i="9"/>
  <c r="AD82" i="10"/>
  <c r="O25" i="9"/>
  <c r="Q25" i="9" s="1"/>
  <c r="M120" i="9"/>
  <c r="AD46" i="10"/>
  <c r="AF46" i="10" s="1"/>
  <c r="T86" i="10"/>
  <c r="T46" i="10"/>
  <c r="G15" i="9"/>
  <c r="O17" i="10" s="1"/>
  <c r="Q17" i="10" s="1"/>
  <c r="L17" i="10"/>
  <c r="P12" i="9"/>
  <c r="Q12" i="9"/>
  <c r="P9" i="9"/>
  <c r="Q9" i="9"/>
  <c r="N138" i="9" l="1"/>
  <c r="O138" i="9" s="1"/>
  <c r="P138" i="9" s="1"/>
  <c r="AG82" i="10"/>
  <c r="AI82" i="10" s="1"/>
  <c r="N120" i="9"/>
  <c r="O120" i="9" s="1"/>
  <c r="AG46" i="10"/>
  <c r="AI46" i="10" s="1"/>
  <c r="N142" i="9"/>
  <c r="O142" i="9" s="1"/>
  <c r="P142" i="9" s="1"/>
  <c r="AG86" i="10"/>
  <c r="P120" i="9"/>
  <c r="Q120" i="9"/>
  <c r="AM46" i="10"/>
  <c r="AO46" i="10" s="1"/>
  <c r="AF82" i="10"/>
  <c r="AM82" i="10"/>
  <c r="AO82" i="10" s="1"/>
  <c r="AP82" i="10" s="1"/>
  <c r="O40" i="9"/>
  <c r="Q40" i="9" s="1"/>
  <c r="I15" i="9"/>
  <c r="AM86" i="10" l="1"/>
  <c r="AO86" i="10" s="1"/>
  <c r="AI86" i="10"/>
  <c r="AQ82" i="10"/>
  <c r="AP46" i="10"/>
  <c r="AQ46" i="10"/>
  <c r="Q142" i="9"/>
  <c r="J15" i="9"/>
  <c r="L15" i="9" s="1"/>
  <c r="M15" i="9" s="1"/>
  <c r="N15" i="9" s="1"/>
  <c r="R17" i="10"/>
  <c r="L60" i="9"/>
  <c r="AP86" i="10" l="1"/>
  <c r="AQ86" i="10"/>
  <c r="M60" i="9"/>
  <c r="O60" i="9" l="1"/>
  <c r="Q60" i="9" l="1"/>
  <c r="C73" i="9" l="1"/>
  <c r="P72" i="9"/>
  <c r="P71" i="9"/>
  <c r="P70" i="9"/>
  <c r="P69" i="9"/>
  <c r="P67" i="9"/>
  <c r="P64" i="9"/>
  <c r="P66" i="9"/>
  <c r="P63" i="9"/>
  <c r="P62" i="9"/>
  <c r="P61" i="9"/>
  <c r="B32" i="10"/>
  <c r="C41" i="9"/>
  <c r="P30" i="9"/>
  <c r="P25" i="9"/>
  <c r="P40" i="9"/>
  <c r="P39" i="9"/>
  <c r="C29" i="9"/>
  <c r="P24" i="9"/>
  <c r="E23" i="9"/>
  <c r="E17" i="9" s="1"/>
  <c r="I19" i="10" s="1"/>
  <c r="P22" i="9"/>
  <c r="P21" i="9"/>
  <c r="P20" i="9"/>
  <c r="P19" i="9"/>
  <c r="A12" i="9"/>
  <c r="A11" i="9"/>
  <c r="P31" i="9" l="1"/>
  <c r="Q31" i="9"/>
  <c r="P60" i="9"/>
  <c r="C42" i="9"/>
  <c r="B23" i="10"/>
  <c r="B73" i="9"/>
  <c r="P38" i="9"/>
  <c r="B20" i="10"/>
  <c r="C28" i="9"/>
  <c r="C27" i="9" s="1"/>
  <c r="B52" i="9"/>
  <c r="B31" i="10" s="1"/>
  <c r="P53" i="9"/>
  <c r="D29" i="9"/>
  <c r="E29" i="9" s="1"/>
  <c r="I29" i="9" s="1"/>
  <c r="J29" i="9" s="1"/>
  <c r="K29" i="9" s="1"/>
  <c r="L29" i="9" s="1"/>
  <c r="M29" i="9" s="1"/>
  <c r="N29" i="9" s="1"/>
  <c r="D41" i="9"/>
  <c r="P57" i="9"/>
  <c r="AN95" i="10"/>
  <c r="AN94" i="10"/>
  <c r="AO94" i="10" s="1"/>
  <c r="AP94" i="10" s="1"/>
  <c r="AN93" i="10"/>
  <c r="AO93" i="10" s="1"/>
  <c r="AP93" i="10" s="1"/>
  <c r="AN90" i="10"/>
  <c r="AN89" i="10"/>
  <c r="AN88" i="10"/>
  <c r="AO72" i="10"/>
  <c r="AN70" i="10"/>
  <c r="AN68" i="10"/>
  <c r="AO68" i="10" s="1"/>
  <c r="AP68" i="10" s="1"/>
  <c r="AN66" i="10"/>
  <c r="AO66" i="10" s="1"/>
  <c r="AP66" i="10" s="1"/>
  <c r="AN64" i="10"/>
  <c r="AN63" i="10"/>
  <c r="AO63" i="10" s="1"/>
  <c r="AN60" i="10"/>
  <c r="AO60" i="10" s="1"/>
  <c r="AP60" i="10" s="1"/>
  <c r="AN59" i="10"/>
  <c r="AN56" i="10"/>
  <c r="AN54" i="10"/>
  <c r="AN53" i="10"/>
  <c r="AN35" i="10"/>
  <c r="AN21" i="10"/>
  <c r="AL12" i="10"/>
  <c r="AL11" i="10"/>
  <c r="AP72" i="10" l="1"/>
  <c r="AP63" i="10"/>
  <c r="B97" i="10"/>
  <c r="B81" i="9"/>
  <c r="C59" i="9"/>
  <c r="D73" i="9"/>
  <c r="L68" i="9"/>
  <c r="O18" i="9"/>
  <c r="E41" i="9"/>
  <c r="F17" i="9"/>
  <c r="L19" i="10" s="1"/>
  <c r="D42" i="9"/>
  <c r="E42" i="9" s="1"/>
  <c r="F42" i="9" s="1"/>
  <c r="G42" i="9" s="1"/>
  <c r="I42" i="9" s="1"/>
  <c r="K42" i="9" s="1"/>
  <c r="B45" i="9"/>
  <c r="D28" i="9"/>
  <c r="AL72" i="10"/>
  <c r="AJ70" i="10"/>
  <c r="AL32" i="10"/>
  <c r="M42" i="9" l="1"/>
  <c r="N42" i="9" s="1"/>
  <c r="O42" i="9"/>
  <c r="M68" i="9"/>
  <c r="N68" i="9" s="1"/>
  <c r="O68" i="9"/>
  <c r="I53" i="10"/>
  <c r="I73" i="10"/>
  <c r="K73" i="10" s="1"/>
  <c r="I85" i="10"/>
  <c r="K85" i="10" s="1"/>
  <c r="I54" i="10"/>
  <c r="I59" i="10"/>
  <c r="I44" i="10"/>
  <c r="I64" i="10"/>
  <c r="I65" i="10"/>
  <c r="I79" i="10"/>
  <c r="K79" i="10" s="1"/>
  <c r="I84" i="10"/>
  <c r="K84" i="10" s="1"/>
  <c r="I83" i="10"/>
  <c r="K83" i="10" s="1"/>
  <c r="I78" i="10"/>
  <c r="K78" i="10" s="1"/>
  <c r="P18" i="9"/>
  <c r="Q18" i="9"/>
  <c r="P29" i="9"/>
  <c r="Q29" i="9"/>
  <c r="I49" i="10"/>
  <c r="L118" i="9"/>
  <c r="I48" i="10"/>
  <c r="R45" i="10"/>
  <c r="T45" i="10" s="1"/>
  <c r="I45" i="10"/>
  <c r="I39" i="10"/>
  <c r="K39" i="10" s="1"/>
  <c r="I56" i="10"/>
  <c r="E53" i="10"/>
  <c r="AL70" i="10"/>
  <c r="AJ87" i="10"/>
  <c r="AJ98" i="10" s="1"/>
  <c r="E49" i="10"/>
  <c r="E84" i="10"/>
  <c r="E78" i="10"/>
  <c r="E44" i="10"/>
  <c r="E65" i="10"/>
  <c r="E85" i="10"/>
  <c r="C81" i="9"/>
  <c r="E64" i="10"/>
  <c r="E83" i="10"/>
  <c r="E73" i="10"/>
  <c r="E45" i="10"/>
  <c r="E59" i="10"/>
  <c r="E79" i="10"/>
  <c r="E48" i="10"/>
  <c r="E56" i="10"/>
  <c r="E54" i="10"/>
  <c r="E39" i="10"/>
  <c r="C45" i="9"/>
  <c r="E73" i="9"/>
  <c r="I34" i="10" s="1"/>
  <c r="D59" i="9"/>
  <c r="H17" i="9"/>
  <c r="R19" i="10" s="1"/>
  <c r="G17" i="9"/>
  <c r="O19" i="10" s="1"/>
  <c r="Q19" i="10" s="1"/>
  <c r="I23" i="10"/>
  <c r="E28" i="9"/>
  <c r="D27" i="9"/>
  <c r="M118" i="9" l="1"/>
  <c r="AD48" i="10"/>
  <c r="AF48" i="10" s="1"/>
  <c r="L104" i="9"/>
  <c r="R44" i="10"/>
  <c r="L90" i="9"/>
  <c r="R56" i="10"/>
  <c r="L83" i="10"/>
  <c r="L84" i="10"/>
  <c r="L54" i="10"/>
  <c r="L39" i="10"/>
  <c r="N39" i="10" s="1"/>
  <c r="L59" i="10"/>
  <c r="K44" i="10"/>
  <c r="M135" i="9"/>
  <c r="AG49" i="10" s="1"/>
  <c r="AI49" i="10" s="1"/>
  <c r="L49" i="10"/>
  <c r="N49" i="10" s="1"/>
  <c r="L85" i="10"/>
  <c r="L105" i="9"/>
  <c r="L65" i="10"/>
  <c r="L73" i="10"/>
  <c r="N73" i="10" s="1"/>
  <c r="L79" i="10"/>
  <c r="N79" i="10" s="1"/>
  <c r="L78" i="10"/>
  <c r="N78" i="10" s="1"/>
  <c r="P42" i="9"/>
  <c r="Q42" i="9"/>
  <c r="L64" i="10"/>
  <c r="L53" i="10"/>
  <c r="L114" i="9"/>
  <c r="O45" i="10"/>
  <c r="Q45" i="10" s="1"/>
  <c r="K48" i="10"/>
  <c r="K45" i="10"/>
  <c r="AM49" i="10"/>
  <c r="AO49" i="10" s="1"/>
  <c r="AQ49" i="10" s="1"/>
  <c r="K49" i="10"/>
  <c r="P68" i="9"/>
  <c r="Q68" i="9"/>
  <c r="L85" i="9"/>
  <c r="E59" i="9"/>
  <c r="I33" i="10" s="1"/>
  <c r="F73" i="9"/>
  <c r="L34" i="10" s="1"/>
  <c r="L23" i="10"/>
  <c r="E27" i="9"/>
  <c r="I17" i="9"/>
  <c r="U19" i="10" s="1"/>
  <c r="D45" i="9"/>
  <c r="AH27" i="10"/>
  <c r="O118" i="9" l="1"/>
  <c r="P118" i="9" s="1"/>
  <c r="AG48" i="10"/>
  <c r="Q118" i="9"/>
  <c r="M104" i="9"/>
  <c r="AD44" i="10"/>
  <c r="AF44" i="10" s="1"/>
  <c r="M90" i="9"/>
  <c r="AD56" i="10"/>
  <c r="AF56" i="10" s="1"/>
  <c r="M105" i="9"/>
  <c r="AD65" i="10"/>
  <c r="AF65" i="10" s="1"/>
  <c r="M114" i="9"/>
  <c r="AD45" i="10"/>
  <c r="AF45" i="10" s="1"/>
  <c r="N135" i="9"/>
  <c r="O135" i="9" s="1"/>
  <c r="P135" i="9" s="1"/>
  <c r="M85" i="9"/>
  <c r="AD39" i="10"/>
  <c r="R87" i="10"/>
  <c r="T56" i="10"/>
  <c r="R50" i="10"/>
  <c r="T44" i="10"/>
  <c r="L88" i="9"/>
  <c r="O54" i="10"/>
  <c r="J140" i="9"/>
  <c r="O84" i="10"/>
  <c r="Q84" i="10" s="1"/>
  <c r="I141" i="9"/>
  <c r="J141" i="9" s="1"/>
  <c r="L141" i="9" s="1"/>
  <c r="O85" i="10"/>
  <c r="Q85" i="10" s="1"/>
  <c r="L139" i="9"/>
  <c r="O83" i="10"/>
  <c r="Q83" i="10" s="1"/>
  <c r="L133" i="9"/>
  <c r="O78" i="10"/>
  <c r="J102" i="9"/>
  <c r="O64" i="10"/>
  <c r="O59" i="10"/>
  <c r="J134" i="9"/>
  <c r="O79" i="10"/>
  <c r="Q79" i="10" s="1"/>
  <c r="L86" i="9"/>
  <c r="O53" i="10"/>
  <c r="I115" i="9"/>
  <c r="O73" i="10"/>
  <c r="Q73" i="10" s="1"/>
  <c r="E45" i="9"/>
  <c r="I20" i="10"/>
  <c r="I85" i="9"/>
  <c r="J85" i="9" s="1"/>
  <c r="O39" i="10"/>
  <c r="Q39" i="10" s="1"/>
  <c r="N84" i="10"/>
  <c r="N85" i="10"/>
  <c r="N83" i="10"/>
  <c r="AP49" i="10"/>
  <c r="H78" i="9"/>
  <c r="G73" i="9"/>
  <c r="O34" i="10" s="1"/>
  <c r="F59" i="9"/>
  <c r="L33" i="10" s="1"/>
  <c r="J17" i="9"/>
  <c r="F27" i="9"/>
  <c r="O23" i="10"/>
  <c r="Q23" i="10" s="1"/>
  <c r="AH36" i="10"/>
  <c r="AE27" i="10"/>
  <c r="AE36" i="10"/>
  <c r="AE24" i="10"/>
  <c r="AM48" i="10" l="1"/>
  <c r="AO48" i="10" s="1"/>
  <c r="AI48" i="10"/>
  <c r="N90" i="9"/>
  <c r="O90" i="9" s="1"/>
  <c r="P90" i="9" s="1"/>
  <c r="AG56" i="10"/>
  <c r="AM56" i="10" s="1"/>
  <c r="AO56" i="10" s="1"/>
  <c r="AP56" i="10" s="1"/>
  <c r="O104" i="9"/>
  <c r="P104" i="9" s="1"/>
  <c r="AG44" i="10"/>
  <c r="N85" i="9"/>
  <c r="O85" i="9" s="1"/>
  <c r="P85" i="9" s="1"/>
  <c r="AG39" i="10"/>
  <c r="AI39" i="10" s="1"/>
  <c r="N114" i="9"/>
  <c r="O114" i="9" s="1"/>
  <c r="P114" i="9" s="1"/>
  <c r="AG45" i="10"/>
  <c r="AI45" i="10" s="1"/>
  <c r="N105" i="9"/>
  <c r="O105" i="9" s="1"/>
  <c r="P105" i="9" s="1"/>
  <c r="AG65" i="10"/>
  <c r="AF39" i="10"/>
  <c r="AD50" i="10"/>
  <c r="M133" i="9"/>
  <c r="AD78" i="10"/>
  <c r="AF78" i="10" s="1"/>
  <c r="M141" i="9"/>
  <c r="AD85" i="10"/>
  <c r="AF85" i="10" s="1"/>
  <c r="M88" i="9"/>
  <c r="AD54" i="10"/>
  <c r="M139" i="9"/>
  <c r="AD83" i="10"/>
  <c r="AF83" i="10" s="1"/>
  <c r="M86" i="9"/>
  <c r="AD53" i="10"/>
  <c r="X19" i="10"/>
  <c r="T50" i="10"/>
  <c r="L115" i="9"/>
  <c r="U73" i="10"/>
  <c r="X84" i="10"/>
  <c r="Z84" i="10" s="1"/>
  <c r="L102" i="9"/>
  <c r="X64" i="10"/>
  <c r="X79" i="10"/>
  <c r="Z79" i="10" s="1"/>
  <c r="Q78" i="10"/>
  <c r="F45" i="9"/>
  <c r="L20" i="10"/>
  <c r="G59" i="9"/>
  <c r="O33" i="10" s="1"/>
  <c r="I78" i="9"/>
  <c r="H73" i="9"/>
  <c r="R34" i="10" s="1"/>
  <c r="I41" i="9"/>
  <c r="G27" i="9"/>
  <c r="K17" i="9"/>
  <c r="AA19" i="10" s="1"/>
  <c r="AE28" i="10"/>
  <c r="AE99" i="10" s="1"/>
  <c r="AM44" i="10" l="1"/>
  <c r="AO44" i="10" s="1"/>
  <c r="AI44" i="10"/>
  <c r="AM39" i="10"/>
  <c r="AO39" i="10" s="1"/>
  <c r="AM45" i="10"/>
  <c r="AO45" i="10" s="1"/>
  <c r="AI50" i="10"/>
  <c r="AF50" i="10"/>
  <c r="AQ39" i="10"/>
  <c r="AM65" i="10"/>
  <c r="AI65" i="10"/>
  <c r="AP48" i="10"/>
  <c r="AQ48" i="10"/>
  <c r="Q104" i="9"/>
  <c r="N133" i="9"/>
  <c r="AG78" i="10"/>
  <c r="N139" i="9"/>
  <c r="AG83" i="10"/>
  <c r="N88" i="9"/>
  <c r="AG54" i="10"/>
  <c r="AM54" i="10" s="1"/>
  <c r="AO54" i="10" s="1"/>
  <c r="AP54" i="10" s="1"/>
  <c r="N141" i="9"/>
  <c r="AG85" i="10"/>
  <c r="AG50" i="10"/>
  <c r="N86" i="9"/>
  <c r="O86" i="9" s="1"/>
  <c r="P86" i="9" s="1"/>
  <c r="AG53" i="10"/>
  <c r="AF54" i="10"/>
  <c r="M102" i="9"/>
  <c r="AD64" i="10"/>
  <c r="AF64" i="10" s="1"/>
  <c r="AF53" i="10"/>
  <c r="M115" i="9"/>
  <c r="AD73" i="10"/>
  <c r="AF73" i="10" s="1"/>
  <c r="W73" i="10"/>
  <c r="U87" i="10"/>
  <c r="U98" i="10" s="1"/>
  <c r="R23" i="10"/>
  <c r="AP39" i="10"/>
  <c r="G45" i="9"/>
  <c r="O20" i="10"/>
  <c r="AE100" i="10"/>
  <c r="H59" i="9"/>
  <c r="R33" i="10" s="1"/>
  <c r="I73" i="9"/>
  <c r="U34" i="10" s="1"/>
  <c r="I28" i="9"/>
  <c r="H27" i="9"/>
  <c r="R20" i="10" s="1"/>
  <c r="M23" i="9"/>
  <c r="L17" i="9"/>
  <c r="AD19" i="10" s="1"/>
  <c r="AM85" i="10" l="1"/>
  <c r="AO85" i="10" s="1"/>
  <c r="AI85" i="10"/>
  <c r="AR50" i="10"/>
  <c r="AP45" i="10"/>
  <c r="AQ45" i="10"/>
  <c r="AP44" i="10"/>
  <c r="AQ44" i="10"/>
  <c r="AM83" i="10"/>
  <c r="AO83" i="10" s="1"/>
  <c r="AQ83" i="10" s="1"/>
  <c r="AI83" i="10"/>
  <c r="AQ73" i="10"/>
  <c r="AM78" i="10"/>
  <c r="AO78" i="10" s="1"/>
  <c r="AI78" i="10"/>
  <c r="N102" i="9"/>
  <c r="AG64" i="10"/>
  <c r="N115" i="9"/>
  <c r="AG73" i="10"/>
  <c r="AI73" i="10" s="1"/>
  <c r="AM53" i="10"/>
  <c r="AO53" i="10" s="1"/>
  <c r="AP53" i="10" s="1"/>
  <c r="AM73" i="10"/>
  <c r="AO73" i="10" s="1"/>
  <c r="AP73" i="10" s="1"/>
  <c r="R24" i="10"/>
  <c r="R28" i="10" s="1"/>
  <c r="I45" i="9"/>
  <c r="U23" i="10"/>
  <c r="H45" i="9"/>
  <c r="O24" i="10"/>
  <c r="Q20" i="10"/>
  <c r="J73" i="9"/>
  <c r="X34" i="10" s="1"/>
  <c r="I59" i="9"/>
  <c r="U33" i="10" s="1"/>
  <c r="N17" i="9"/>
  <c r="M17" i="9"/>
  <c r="K41" i="9"/>
  <c r="X23" i="10"/>
  <c r="J28" i="9"/>
  <c r="AQ78" i="10" l="1"/>
  <c r="AP78" i="10"/>
  <c r="AM64" i="10"/>
  <c r="AO64" i="10" s="1"/>
  <c r="AP64" i="10" s="1"/>
  <c r="AI64" i="10"/>
  <c r="AP83" i="10"/>
  <c r="AP85" i="10"/>
  <c r="AQ85" i="10"/>
  <c r="O17" i="9"/>
  <c r="AG19" i="10"/>
  <c r="AM19" i="10" s="1"/>
  <c r="K37" i="9"/>
  <c r="O23" i="9"/>
  <c r="Q17" i="9"/>
  <c r="K45" i="9"/>
  <c r="L78" i="9"/>
  <c r="K73" i="9"/>
  <c r="AA34" i="10" s="1"/>
  <c r="J59" i="9"/>
  <c r="X33" i="10" s="1"/>
  <c r="K28" i="9"/>
  <c r="J27" i="9"/>
  <c r="AA23" i="10" l="1"/>
  <c r="J45" i="9"/>
  <c r="X20" i="10"/>
  <c r="P23" i="9"/>
  <c r="Q23" i="9"/>
  <c r="M78" i="9"/>
  <c r="L73" i="9"/>
  <c r="AD34" i="10" s="1"/>
  <c r="M41" i="9"/>
  <c r="AD23" i="10"/>
  <c r="L28" i="9"/>
  <c r="AA70" i="10"/>
  <c r="AC70" i="10" s="1"/>
  <c r="M37" i="9" l="1"/>
  <c r="AG23" i="10" s="1"/>
  <c r="N78" i="9"/>
  <c r="N73" i="9" s="1"/>
  <c r="M73" i="9"/>
  <c r="AG34" i="10" s="1"/>
  <c r="L59" i="9"/>
  <c r="AD33" i="10" s="1"/>
  <c r="M28" i="9"/>
  <c r="L27" i="9"/>
  <c r="N41" i="9"/>
  <c r="N37" i="9" s="1"/>
  <c r="AB24" i="10"/>
  <c r="AB27" i="10"/>
  <c r="AB36" i="10"/>
  <c r="O41" i="9" l="1"/>
  <c r="O37" i="9"/>
  <c r="L45" i="9"/>
  <c r="AD20" i="10"/>
  <c r="O78" i="9"/>
  <c r="M59" i="9"/>
  <c r="AG33" i="10" s="1"/>
  <c r="AI33" i="10" s="1"/>
  <c r="N28" i="9"/>
  <c r="M27" i="9"/>
  <c r="AG20" i="10" s="1"/>
  <c r="AB28" i="10"/>
  <c r="AB99" i="10" s="1"/>
  <c r="AB100" i="10" s="1"/>
  <c r="AM20" i="10" l="1"/>
  <c r="O27" i="9"/>
  <c r="O45" i="9" s="1"/>
  <c r="Q37" i="9"/>
  <c r="O73" i="9"/>
  <c r="P78" i="9"/>
  <c r="Q73" i="9"/>
  <c r="Q78" i="9"/>
  <c r="P41" i="9"/>
  <c r="Q41" i="9"/>
  <c r="N59" i="9"/>
  <c r="Q65" i="9"/>
  <c r="M45" i="9"/>
  <c r="N27" i="9"/>
  <c r="N45" i="9" s="1"/>
  <c r="P28" i="9" l="1"/>
  <c r="Q28" i="9"/>
  <c r="N81" i="9"/>
  <c r="P65" i="9"/>
  <c r="O59" i="9"/>
  <c r="Q59" i="9" s="1"/>
  <c r="Q27" i="9"/>
  <c r="Z70" i="10" l="1"/>
  <c r="Y36" i="10"/>
  <c r="Y24" i="10"/>
  <c r="I81" i="9" l="1"/>
  <c r="Y28" i="10"/>
  <c r="Y99" i="10" s="1"/>
  <c r="W70" i="10"/>
  <c r="W11" i="10"/>
  <c r="Y100" i="10" l="1"/>
  <c r="V36" i="10"/>
  <c r="V24" i="10"/>
  <c r="V27" i="10"/>
  <c r="V28" i="10" l="1"/>
  <c r="V99" i="10" l="1"/>
  <c r="AO11" i="10"/>
  <c r="AI99" i="14"/>
  <c r="AI95" i="14"/>
  <c r="AK94" i="14"/>
  <c r="AI92" i="14"/>
  <c r="AI91" i="14"/>
  <c r="AI100" i="14" s="1"/>
  <c r="Z87" i="14"/>
  <c r="Y87" i="14"/>
  <c r="X87" i="14"/>
  <c r="X88" i="14" s="1"/>
  <c r="W87" i="14"/>
  <c r="V87" i="14"/>
  <c r="U87" i="14"/>
  <c r="S87" i="14"/>
  <c r="D87" i="14"/>
  <c r="C87" i="14"/>
  <c r="B87" i="14"/>
  <c r="AB86" i="14"/>
  <c r="E86" i="14"/>
  <c r="AB85" i="14"/>
  <c r="E85" i="14"/>
  <c r="AB84" i="14"/>
  <c r="R84" i="14"/>
  <c r="T84" i="14" s="1"/>
  <c r="O84" i="14"/>
  <c r="Q84" i="14" s="1"/>
  <c r="L84" i="14"/>
  <c r="N84" i="14" s="1"/>
  <c r="I84" i="14"/>
  <c r="F84" i="14"/>
  <c r="H84" i="14" s="1"/>
  <c r="E84" i="14"/>
  <c r="AB83" i="14"/>
  <c r="E83" i="14"/>
  <c r="AB82" i="14"/>
  <c r="R82" i="14"/>
  <c r="T82" i="14" s="1"/>
  <c r="O82" i="14"/>
  <c r="Q82" i="14" s="1"/>
  <c r="L82" i="14"/>
  <c r="N82" i="14" s="1"/>
  <c r="I82" i="14"/>
  <c r="K82" i="14" s="1"/>
  <c r="F82" i="14"/>
  <c r="E82" i="14"/>
  <c r="AB81" i="14"/>
  <c r="E81" i="14"/>
  <c r="AB80" i="14"/>
  <c r="E80" i="14"/>
  <c r="AB79" i="14"/>
  <c r="E79" i="14"/>
  <c r="M78" i="14"/>
  <c r="AB78" i="14" s="1"/>
  <c r="E78" i="14"/>
  <c r="P77" i="14"/>
  <c r="M77" i="14"/>
  <c r="J77" i="14"/>
  <c r="E77" i="14"/>
  <c r="J76" i="14"/>
  <c r="AB76" i="14" s="1"/>
  <c r="E76" i="14"/>
  <c r="AB75" i="14"/>
  <c r="E75" i="14"/>
  <c r="AB74" i="14"/>
  <c r="E74" i="14"/>
  <c r="J73" i="14"/>
  <c r="AB73" i="14" s="1"/>
  <c r="E73" i="14"/>
  <c r="M72" i="14"/>
  <c r="J72" i="14"/>
  <c r="E72" i="14"/>
  <c r="AB71" i="14"/>
  <c r="E71" i="14"/>
  <c r="AB70" i="14"/>
  <c r="E70" i="14"/>
  <c r="AB69" i="14"/>
  <c r="E69" i="14"/>
  <c r="M68" i="14"/>
  <c r="J68" i="14"/>
  <c r="E68" i="14"/>
  <c r="P67" i="14"/>
  <c r="M67" i="14"/>
  <c r="J67" i="14"/>
  <c r="E67" i="14"/>
  <c r="AB66" i="14"/>
  <c r="E66" i="14"/>
  <c r="AB65" i="14"/>
  <c r="E65" i="14"/>
  <c r="AB64" i="14"/>
  <c r="E64" i="14"/>
  <c r="AB63" i="14"/>
  <c r="R63" i="14"/>
  <c r="T63" i="14" s="1"/>
  <c r="O63" i="14"/>
  <c r="Q63" i="14" s="1"/>
  <c r="L63" i="14"/>
  <c r="N63" i="14" s="1"/>
  <c r="I63" i="14"/>
  <c r="K63" i="14" s="1"/>
  <c r="F63" i="14"/>
  <c r="H63" i="14" s="1"/>
  <c r="E63" i="14"/>
  <c r="AB62" i="14"/>
  <c r="R62" i="14"/>
  <c r="T62" i="14" s="1"/>
  <c r="O62" i="14"/>
  <c r="Q62" i="14" s="1"/>
  <c r="L62" i="14"/>
  <c r="N62" i="14" s="1"/>
  <c r="I62" i="14"/>
  <c r="K62" i="14" s="1"/>
  <c r="F62" i="14"/>
  <c r="H62" i="14" s="1"/>
  <c r="E62" i="14"/>
  <c r="M61" i="14"/>
  <c r="J61" i="14"/>
  <c r="E61" i="14"/>
  <c r="AB60" i="14"/>
  <c r="R60" i="14"/>
  <c r="T60" i="14" s="1"/>
  <c r="O60" i="14"/>
  <c r="Q60" i="14" s="1"/>
  <c r="L60" i="14"/>
  <c r="N60" i="14" s="1"/>
  <c r="I60" i="14"/>
  <c r="K60" i="14" s="1"/>
  <c r="F60" i="14"/>
  <c r="E60" i="14"/>
  <c r="AB59" i="14"/>
  <c r="R59" i="14"/>
  <c r="T59" i="14" s="1"/>
  <c r="O59" i="14"/>
  <c r="Q59" i="14" s="1"/>
  <c r="L59" i="14"/>
  <c r="N59" i="14" s="1"/>
  <c r="I59" i="14"/>
  <c r="K59" i="14" s="1"/>
  <c r="F59" i="14"/>
  <c r="H59" i="14" s="1"/>
  <c r="E59" i="14"/>
  <c r="AB58" i="14"/>
  <c r="E58" i="14"/>
  <c r="J57" i="14"/>
  <c r="AB57" i="14" s="1"/>
  <c r="E57" i="14"/>
  <c r="AB56" i="14"/>
  <c r="E56" i="14"/>
  <c r="M55" i="14"/>
  <c r="AB55" i="14" s="1"/>
  <c r="E55" i="14"/>
  <c r="AB54" i="14"/>
  <c r="E54" i="14"/>
  <c r="AB53" i="14"/>
  <c r="E53" i="14"/>
  <c r="P52" i="14"/>
  <c r="AB52" i="14" s="1"/>
  <c r="E52" i="14"/>
  <c r="AB51" i="14"/>
  <c r="R51" i="14"/>
  <c r="T51" i="14" s="1"/>
  <c r="O51" i="14"/>
  <c r="Q51" i="14" s="1"/>
  <c r="L51" i="14"/>
  <c r="N51" i="14" s="1"/>
  <c r="I51" i="14"/>
  <c r="K51" i="14" s="1"/>
  <c r="F51" i="14"/>
  <c r="H51" i="14" s="1"/>
  <c r="E51" i="14"/>
  <c r="AF50" i="14"/>
  <c r="AE50" i="14"/>
  <c r="AB50" i="14"/>
  <c r="E50" i="14"/>
  <c r="AB49" i="14"/>
  <c r="E49" i="14"/>
  <c r="M48" i="14"/>
  <c r="J48" i="14"/>
  <c r="E48" i="14"/>
  <c r="P47" i="14"/>
  <c r="E47" i="14"/>
  <c r="M46" i="14"/>
  <c r="AB46" i="14" s="1"/>
  <c r="E46" i="14"/>
  <c r="AB45" i="14"/>
  <c r="E45" i="14"/>
  <c r="M44" i="14"/>
  <c r="AB44" i="14" s="1"/>
  <c r="E44" i="14"/>
  <c r="M43" i="14"/>
  <c r="J43" i="14"/>
  <c r="E43" i="14"/>
  <c r="AB42" i="14"/>
  <c r="E42" i="14"/>
  <c r="M41" i="14"/>
  <c r="J41" i="14"/>
  <c r="E41" i="14"/>
  <c r="AB40" i="14"/>
  <c r="E40" i="14"/>
  <c r="AB39" i="14"/>
  <c r="E39" i="14"/>
  <c r="M38" i="14"/>
  <c r="J38" i="14"/>
  <c r="E38" i="14"/>
  <c r="AB37" i="14"/>
  <c r="E37" i="14"/>
  <c r="M36" i="14"/>
  <c r="J36" i="14"/>
  <c r="J35" i="14" s="1"/>
  <c r="G36" i="14"/>
  <c r="E36" i="14"/>
  <c r="M35" i="14"/>
  <c r="G35" i="14"/>
  <c r="G87" i="14" s="1"/>
  <c r="E35" i="14"/>
  <c r="AF34" i="14"/>
  <c r="Z34" i="14"/>
  <c r="Y34" i="14"/>
  <c r="X34" i="14"/>
  <c r="W34" i="14"/>
  <c r="V34" i="14"/>
  <c r="U34" i="14"/>
  <c r="D34" i="14"/>
  <c r="AB33" i="14"/>
  <c r="T33" i="14"/>
  <c r="E33" i="14"/>
  <c r="B33" i="14"/>
  <c r="AB32" i="14"/>
  <c r="T32" i="14"/>
  <c r="E32" i="14"/>
  <c r="B32" i="14"/>
  <c r="AB31" i="14"/>
  <c r="E31" i="14"/>
  <c r="B31" i="14"/>
  <c r="S30" i="14"/>
  <c r="P30" i="14"/>
  <c r="G30" i="14"/>
  <c r="E30" i="14"/>
  <c r="B30" i="14"/>
  <c r="S29" i="14"/>
  <c r="P29" i="14"/>
  <c r="G29" i="14"/>
  <c r="E29" i="14"/>
  <c r="B29" i="14"/>
  <c r="S28" i="14"/>
  <c r="P28" i="14"/>
  <c r="G28" i="14"/>
  <c r="E28" i="14"/>
  <c r="B28" i="14"/>
  <c r="B34" i="14" s="1"/>
  <c r="S27" i="14"/>
  <c r="S34" i="14" s="1"/>
  <c r="P27" i="14"/>
  <c r="E27" i="14"/>
  <c r="C27" i="14"/>
  <c r="C34" i="14" s="1"/>
  <c r="E26" i="14"/>
  <c r="P25" i="14"/>
  <c r="M25" i="14"/>
  <c r="J25" i="14"/>
  <c r="G25" i="14"/>
  <c r="E25" i="14"/>
  <c r="E34" i="14" s="1"/>
  <c r="X24" i="14"/>
  <c r="W24" i="14"/>
  <c r="Z23" i="14"/>
  <c r="Y23" i="14"/>
  <c r="Y24" i="14" s="1"/>
  <c r="X23" i="14"/>
  <c r="W23" i="14"/>
  <c r="V23" i="14"/>
  <c r="V24" i="14" s="1"/>
  <c r="U23" i="14"/>
  <c r="S23" i="14"/>
  <c r="E23" i="14"/>
  <c r="D23" i="14"/>
  <c r="D24" i="14" s="1"/>
  <c r="C23" i="14"/>
  <c r="B23" i="14"/>
  <c r="E22" i="14"/>
  <c r="P21" i="14"/>
  <c r="P23" i="14" s="1"/>
  <c r="M21" i="14"/>
  <c r="M23" i="14" s="1"/>
  <c r="J21" i="14"/>
  <c r="G21" i="14"/>
  <c r="E21" i="14"/>
  <c r="Z20" i="14"/>
  <c r="Y20" i="14"/>
  <c r="X20" i="14"/>
  <c r="W20" i="14"/>
  <c r="V20" i="14"/>
  <c r="U20" i="14"/>
  <c r="U24" i="14" s="1"/>
  <c r="D20" i="14"/>
  <c r="C20" i="14"/>
  <c r="S19" i="14"/>
  <c r="P19" i="14"/>
  <c r="G19" i="14"/>
  <c r="E19" i="14"/>
  <c r="B19" i="14"/>
  <c r="S18" i="14"/>
  <c r="P18" i="14"/>
  <c r="M18" i="14"/>
  <c r="E18" i="14"/>
  <c r="B18" i="14"/>
  <c r="AB17" i="14"/>
  <c r="E17" i="14"/>
  <c r="B17" i="14"/>
  <c r="B20" i="14" s="1"/>
  <c r="S16" i="14"/>
  <c r="P16" i="14"/>
  <c r="G16" i="14"/>
  <c r="E16" i="14"/>
  <c r="B16" i="14"/>
  <c r="S15" i="14"/>
  <c r="S20" i="14" s="1"/>
  <c r="P15" i="14"/>
  <c r="E15" i="14"/>
  <c r="B15" i="14"/>
  <c r="M14" i="14"/>
  <c r="AB14" i="14" s="1"/>
  <c r="E14" i="14"/>
  <c r="P13" i="14"/>
  <c r="M13" i="14"/>
  <c r="J13" i="14"/>
  <c r="G13" i="14"/>
  <c r="G20" i="14" s="1"/>
  <c r="E13" i="14"/>
  <c r="E20" i="14" s="1"/>
  <c r="Z12" i="14"/>
  <c r="Y12" i="14"/>
  <c r="X12" i="14"/>
  <c r="W12" i="14"/>
  <c r="V12" i="14"/>
  <c r="U12" i="14"/>
  <c r="S12" i="14"/>
  <c r="G12" i="14"/>
  <c r="F12" i="14"/>
  <c r="D12" i="14"/>
  <c r="C12" i="14"/>
  <c r="B12" i="14"/>
  <c r="AB11" i="14"/>
  <c r="H11" i="14"/>
  <c r="E11" i="14"/>
  <c r="R10" i="14"/>
  <c r="T10" i="14" s="1"/>
  <c r="O10" i="14"/>
  <c r="Q10" i="14" s="1"/>
  <c r="L10" i="14"/>
  <c r="N10" i="14" s="1"/>
  <c r="J10" i="14"/>
  <c r="I10" i="14"/>
  <c r="H10" i="14"/>
  <c r="E10" i="14"/>
  <c r="P9" i="14"/>
  <c r="M9" i="14"/>
  <c r="J9" i="14"/>
  <c r="H9" i="14"/>
  <c r="E9" i="14"/>
  <c r="P8" i="14"/>
  <c r="AB8" i="14" s="1"/>
  <c r="H8" i="14"/>
  <c r="E8" i="14"/>
  <c r="P7" i="14"/>
  <c r="M7" i="14"/>
  <c r="H7" i="14"/>
  <c r="E7" i="14"/>
  <c r="P6" i="14"/>
  <c r="M6" i="14"/>
  <c r="H6" i="14"/>
  <c r="E6" i="14"/>
  <c r="E12" i="14" s="1"/>
  <c r="V100" i="10" l="1"/>
  <c r="AP11" i="10"/>
  <c r="AA10" i="14"/>
  <c r="H12" i="14"/>
  <c r="M12" i="14"/>
  <c r="P34" i="14"/>
  <c r="AB6" i="14"/>
  <c r="AB9" i="14"/>
  <c r="AB36" i="14"/>
  <c r="AA82" i="14"/>
  <c r="AC82" i="14" s="1"/>
  <c r="AD82" i="14" s="1"/>
  <c r="AA84" i="14"/>
  <c r="AC84" i="14" s="1"/>
  <c r="AD84" i="14" s="1"/>
  <c r="K84" i="14"/>
  <c r="K10" i="14"/>
  <c r="AB61" i="14"/>
  <c r="AB38" i="14"/>
  <c r="AB43" i="14"/>
  <c r="AB68" i="14"/>
  <c r="AB77" i="14"/>
  <c r="AB41" i="14"/>
  <c r="AB67" i="14"/>
  <c r="AB25" i="14"/>
  <c r="J87" i="14"/>
  <c r="AB13" i="14"/>
  <c r="AB10" i="14"/>
  <c r="G34" i="14"/>
  <c r="AB72" i="14"/>
  <c r="AB48" i="14"/>
  <c r="M87" i="14"/>
  <c r="U88" i="14"/>
  <c r="X89" i="14"/>
  <c r="J12" i="14"/>
  <c r="E24" i="14"/>
  <c r="U89" i="14"/>
  <c r="D88" i="14"/>
  <c r="AB7" i="14"/>
  <c r="Z24" i="14"/>
  <c r="H60" i="14"/>
  <c r="AA60" i="14"/>
  <c r="AC60" i="14" s="1"/>
  <c r="AD60" i="14" s="1"/>
  <c r="V88" i="14"/>
  <c r="V89" i="14" s="1"/>
  <c r="P20" i="14"/>
  <c r="P24" i="14" s="1"/>
  <c r="G23" i="14"/>
  <c r="G24" i="14" s="1"/>
  <c r="AB21" i="14"/>
  <c r="W88" i="14"/>
  <c r="AA51" i="14"/>
  <c r="AC51" i="14" s="1"/>
  <c r="AD51" i="14" s="1"/>
  <c r="AA59" i="14"/>
  <c r="AC59" i="14" s="1"/>
  <c r="AD59" i="14" s="1"/>
  <c r="Y88" i="14"/>
  <c r="Y89" i="14" s="1"/>
  <c r="P12" i="14"/>
  <c r="E87" i="14"/>
  <c r="E88" i="14" s="1"/>
  <c r="E89" i="14" s="1"/>
  <c r="P87" i="14"/>
  <c r="Z88" i="14"/>
  <c r="Z89" i="14" s="1"/>
  <c r="S24" i="14"/>
  <c r="S88" i="14" s="1"/>
  <c r="S89" i="14" s="1"/>
  <c r="AA62" i="14"/>
  <c r="AC62" i="14" s="1"/>
  <c r="AD62" i="14" s="1"/>
  <c r="D89" i="14"/>
  <c r="B24" i="14"/>
  <c r="B88" i="14" s="1"/>
  <c r="B89" i="14" s="1"/>
  <c r="W89" i="14"/>
  <c r="C24" i="14"/>
  <c r="C88" i="14" s="1"/>
  <c r="AA63" i="14"/>
  <c r="AC63" i="14" s="1"/>
  <c r="AD63" i="14" s="1"/>
  <c r="AB47" i="14"/>
  <c r="H82" i="14"/>
  <c r="AB35" i="14"/>
  <c r="T11" i="10"/>
  <c r="S36" i="10"/>
  <c r="S27" i="10"/>
  <c r="AN62" i="10"/>
  <c r="AO62" i="10" s="1"/>
  <c r="AC10" i="14" l="1"/>
  <c r="AD10" i="14" s="1"/>
  <c r="AP62" i="10"/>
  <c r="AB12" i="14"/>
  <c r="G88" i="14"/>
  <c r="G89" i="14" s="1"/>
  <c r="AB87" i="14"/>
  <c r="C89" i="14"/>
  <c r="P88" i="14"/>
  <c r="P89" i="14" l="1"/>
  <c r="AO9" i="10"/>
  <c r="AO7" i="10" l="1"/>
  <c r="AN18" i="10"/>
  <c r="AN65" i="10"/>
  <c r="AO65" i="10" s="1"/>
  <c r="AP65" i="10" s="1"/>
  <c r="AP7" i="10" l="1"/>
  <c r="AN30" i="10"/>
  <c r="M26" i="14"/>
  <c r="M27" i="14"/>
  <c r="M15" i="14"/>
  <c r="M19" i="14"/>
  <c r="M16" i="14"/>
  <c r="M29" i="14" l="1"/>
  <c r="M28" i="14"/>
  <c r="AB26" i="14"/>
  <c r="M20" i="14"/>
  <c r="M24" i="14" s="1"/>
  <c r="M30" i="14"/>
  <c r="N70" i="10"/>
  <c r="M27" i="10"/>
  <c r="AO10" i="10" l="1"/>
  <c r="M34" i="14"/>
  <c r="M88" i="14" s="1"/>
  <c r="M89" i="14" s="1"/>
  <c r="M24" i="10"/>
  <c r="M28" i="10" s="1"/>
  <c r="M36" i="10"/>
  <c r="AN91" i="10"/>
  <c r="AN57" i="10"/>
  <c r="AO57" i="10" s="1"/>
  <c r="AP57" i="10" s="1"/>
  <c r="AN55" i="10"/>
  <c r="AO55" i="10" s="1"/>
  <c r="AP55" i="10" s="1"/>
  <c r="AN67" i="10"/>
  <c r="AO67" i="10" s="1"/>
  <c r="AN58" i="10"/>
  <c r="AO58" i="10" s="1"/>
  <c r="AP58" i="10" s="1"/>
  <c r="AN96" i="10"/>
  <c r="AO96" i="10" s="1"/>
  <c r="AP96" i="10" s="1"/>
  <c r="AN92" i="10"/>
  <c r="AO92" i="10" s="1"/>
  <c r="AP92" i="10" s="1"/>
  <c r="AP67" i="10" l="1"/>
  <c r="AP10" i="10"/>
  <c r="AO91" i="10"/>
  <c r="AP91" i="10" s="1"/>
  <c r="AN97" i="10"/>
  <c r="AN22" i="10"/>
  <c r="J18" i="14"/>
  <c r="AB18" i="14" s="1"/>
  <c r="AN26" i="10"/>
  <c r="J22" i="14"/>
  <c r="AN31" i="10" l="1"/>
  <c r="J27" i="14"/>
  <c r="J28" i="14"/>
  <c r="AB28" i="14" s="1"/>
  <c r="J29" i="14"/>
  <c r="AB29" i="14" s="1"/>
  <c r="J30" i="14"/>
  <c r="AB30" i="14" s="1"/>
  <c r="J19" i="14"/>
  <c r="AB19" i="14" s="1"/>
  <c r="J23" i="14"/>
  <c r="AB22" i="14"/>
  <c r="AB23" i="14" s="1"/>
  <c r="J16" i="14"/>
  <c r="AB16" i="14" s="1"/>
  <c r="AN19" i="10"/>
  <c r="AO19" i="10" s="1"/>
  <c r="J15" i="14"/>
  <c r="J20" i="14" l="1"/>
  <c r="J24" i="14" s="1"/>
  <c r="AB15" i="14"/>
  <c r="AB20" i="14" s="1"/>
  <c r="AB24" i="14" s="1"/>
  <c r="AB27" i="14"/>
  <c r="AB34" i="14" s="1"/>
  <c r="J34" i="14"/>
  <c r="K72" i="10"/>
  <c r="K70" i="10"/>
  <c r="AM70" i="10" l="1"/>
  <c r="AO70" i="10" s="1"/>
  <c r="AQ70" i="10" s="1"/>
  <c r="J88" i="14"/>
  <c r="J89" i="14" s="1"/>
  <c r="AB91" i="14" s="1"/>
  <c r="AB88" i="14"/>
  <c r="AB89" i="14" s="1"/>
  <c r="AN32" i="10"/>
  <c r="AN33" i="10"/>
  <c r="AN34" i="10"/>
  <c r="AN20" i="10"/>
  <c r="AO20" i="10" s="1"/>
  <c r="AN23" i="10"/>
  <c r="AP70" i="10" l="1"/>
  <c r="G36" i="10"/>
  <c r="G24" i="10"/>
  <c r="E96" i="10" l="1"/>
  <c r="E95" i="10"/>
  <c r="E94" i="10"/>
  <c r="E93" i="10"/>
  <c r="E92" i="10"/>
  <c r="E91" i="10"/>
  <c r="E90" i="10"/>
  <c r="E89" i="10"/>
  <c r="E88" i="10"/>
  <c r="H72" i="10"/>
  <c r="H70" i="10"/>
  <c r="D36" i="10"/>
  <c r="E34" i="10"/>
  <c r="E33" i="10"/>
  <c r="E32" i="10"/>
  <c r="E29" i="10"/>
  <c r="D27" i="10"/>
  <c r="G27" i="10"/>
  <c r="E26" i="10"/>
  <c r="D24" i="10"/>
  <c r="C24" i="10"/>
  <c r="E23" i="10"/>
  <c r="E22" i="10"/>
  <c r="E21" i="10"/>
  <c r="E20" i="10"/>
  <c r="E19" i="10"/>
  <c r="E18" i="10"/>
  <c r="E17" i="10"/>
  <c r="H6" i="10"/>
  <c r="E6" i="10"/>
  <c r="AL20" i="10"/>
  <c r="AL91" i="10"/>
  <c r="AL57" i="10"/>
  <c r="O109" i="9"/>
  <c r="O108" i="9"/>
  <c r="P108" i="9" s="1"/>
  <c r="AL96" i="10"/>
  <c r="AC96" i="10"/>
  <c r="AQ96" i="10" s="1"/>
  <c r="Z96" i="10"/>
  <c r="W96" i="10"/>
  <c r="N119" i="9"/>
  <c r="AL95" i="10" s="1"/>
  <c r="M119" i="9"/>
  <c r="L119" i="9"/>
  <c r="K119" i="9"/>
  <c r="Z95" i="10"/>
  <c r="W95" i="10"/>
  <c r="O76" i="10"/>
  <c r="I76" i="10"/>
  <c r="AL94" i="10"/>
  <c r="AC94" i="10"/>
  <c r="Z94" i="10"/>
  <c r="W94" i="10"/>
  <c r="AL93" i="10"/>
  <c r="AC93" i="10"/>
  <c r="Z93" i="10"/>
  <c r="W93" i="10"/>
  <c r="N137" i="9"/>
  <c r="L137" i="9"/>
  <c r="K137" i="9"/>
  <c r="L81" i="10"/>
  <c r="N136" i="9"/>
  <c r="M136" i="9"/>
  <c r="O136" i="9" s="1"/>
  <c r="P136" i="9" s="1"/>
  <c r="F86" i="14"/>
  <c r="F83" i="14"/>
  <c r="F74" i="14"/>
  <c r="F70" i="14"/>
  <c r="AC91" i="10"/>
  <c r="Z91" i="10"/>
  <c r="W91" i="10"/>
  <c r="AL90" i="10"/>
  <c r="AC90" i="10"/>
  <c r="Z90" i="10"/>
  <c r="W90" i="10"/>
  <c r="AL89" i="10"/>
  <c r="M112" i="9"/>
  <c r="AC89" i="10"/>
  <c r="Z89" i="10"/>
  <c r="W89" i="10"/>
  <c r="AL88" i="10"/>
  <c r="AI88" i="10"/>
  <c r="AD88" i="10"/>
  <c r="AF88" i="10" s="1"/>
  <c r="AA88" i="10"/>
  <c r="Z88" i="10"/>
  <c r="W88" i="10"/>
  <c r="AL71" i="10"/>
  <c r="W71" i="10"/>
  <c r="AL68" i="10"/>
  <c r="AC68" i="10"/>
  <c r="Z68" i="10"/>
  <c r="W68" i="10"/>
  <c r="AL67" i="10"/>
  <c r="AC67" i="10"/>
  <c r="Z67" i="10"/>
  <c r="AQ67" i="10" s="1"/>
  <c r="W67" i="10"/>
  <c r="AL65" i="10"/>
  <c r="AC65" i="10"/>
  <c r="Z65" i="10"/>
  <c r="AQ65" i="10" s="1"/>
  <c r="W65" i="10"/>
  <c r="AL64" i="10"/>
  <c r="AC64" i="10"/>
  <c r="Z64" i="10"/>
  <c r="AQ64" i="10" s="1"/>
  <c r="W64" i="10"/>
  <c r="AL63" i="10"/>
  <c r="AC63" i="10"/>
  <c r="Z63" i="10"/>
  <c r="AQ63" i="10" s="1"/>
  <c r="W63" i="10"/>
  <c r="AL62" i="10"/>
  <c r="AI62" i="10"/>
  <c r="AC62" i="10"/>
  <c r="Z62" i="10"/>
  <c r="W62" i="10"/>
  <c r="AL60" i="10"/>
  <c r="AI60" i="10"/>
  <c r="AC60" i="10"/>
  <c r="Z60" i="10"/>
  <c r="AQ60" i="10" s="1"/>
  <c r="W60" i="10"/>
  <c r="AL59" i="10"/>
  <c r="W59" i="10"/>
  <c r="AL58" i="10"/>
  <c r="AI58" i="10"/>
  <c r="AC58" i="10"/>
  <c r="Z58" i="10"/>
  <c r="W58" i="10"/>
  <c r="N92" i="9"/>
  <c r="M92" i="9"/>
  <c r="L92" i="9"/>
  <c r="J92" i="9"/>
  <c r="I92" i="9"/>
  <c r="M91" i="9"/>
  <c r="L91" i="9"/>
  <c r="AI57" i="10"/>
  <c r="AC57" i="10"/>
  <c r="Z57" i="10"/>
  <c r="W57" i="10"/>
  <c r="AL56" i="10"/>
  <c r="AI56" i="10"/>
  <c r="AC56" i="10"/>
  <c r="Z56" i="10"/>
  <c r="W56" i="10"/>
  <c r="AL55" i="10"/>
  <c r="AC55" i="10"/>
  <c r="Z55" i="10"/>
  <c r="AQ55" i="10" s="1"/>
  <c r="W55" i="10"/>
  <c r="N84" i="9"/>
  <c r="AL53" i="10" s="1"/>
  <c r="M84" i="9"/>
  <c r="AI53" i="10" s="1"/>
  <c r="AC53" i="10"/>
  <c r="Z53" i="10"/>
  <c r="I84" i="9"/>
  <c r="L38" i="10"/>
  <c r="I38" i="10"/>
  <c r="F68" i="14"/>
  <c r="AL34" i="10"/>
  <c r="AI34" i="10"/>
  <c r="F81" i="9"/>
  <c r="E81" i="9"/>
  <c r="D81" i="9"/>
  <c r="AL33" i="10"/>
  <c r="AL30" i="10"/>
  <c r="AJ35" i="10"/>
  <c r="AL35" i="10" s="1"/>
  <c r="AI35" i="10"/>
  <c r="AF35" i="10"/>
  <c r="AA35" i="10"/>
  <c r="AC35" i="10" s="1"/>
  <c r="X35" i="10"/>
  <c r="Z35" i="10" s="1"/>
  <c r="U35" i="10"/>
  <c r="W35" i="10" s="1"/>
  <c r="AF34" i="10"/>
  <c r="AC34" i="10"/>
  <c r="Z34" i="10"/>
  <c r="W34" i="10"/>
  <c r="AF33" i="10"/>
  <c r="AC33" i="10"/>
  <c r="Z33" i="10"/>
  <c r="W33" i="10"/>
  <c r="W32" i="10"/>
  <c r="H81" i="9"/>
  <c r="G81" i="9"/>
  <c r="AL31" i="10"/>
  <c r="AI31" i="10"/>
  <c r="AF31" i="10"/>
  <c r="AC31" i="10"/>
  <c r="Z31" i="10"/>
  <c r="W31" i="10"/>
  <c r="AI30" i="10"/>
  <c r="AF30" i="10"/>
  <c r="AC30" i="10"/>
  <c r="Z30" i="10"/>
  <c r="W30" i="10"/>
  <c r="AI29" i="10"/>
  <c r="C27" i="8"/>
  <c r="AJ26" i="10"/>
  <c r="AL26" i="10" s="1"/>
  <c r="AI26" i="10"/>
  <c r="AC26" i="10"/>
  <c r="W26" i="10"/>
  <c r="AL23" i="10"/>
  <c r="AL19" i="10"/>
  <c r="Z19" i="10"/>
  <c r="W19" i="10"/>
  <c r="AI23" i="10"/>
  <c r="AF23" i="10"/>
  <c r="AC23" i="10"/>
  <c r="Z23" i="10"/>
  <c r="W23" i="10"/>
  <c r="AL22" i="10"/>
  <c r="AI22" i="10"/>
  <c r="AF22" i="10"/>
  <c r="AC22" i="10"/>
  <c r="Z22" i="10"/>
  <c r="W22" i="10"/>
  <c r="AL21" i="10"/>
  <c r="AI21" i="10"/>
  <c r="AF21" i="10"/>
  <c r="AC21" i="10"/>
  <c r="Z21" i="10"/>
  <c r="W21" i="10"/>
  <c r="AI20" i="10"/>
  <c r="AF20" i="10"/>
  <c r="AC20" i="10"/>
  <c r="Z20" i="10"/>
  <c r="W20" i="10"/>
  <c r="AI19" i="10"/>
  <c r="AF19" i="10"/>
  <c r="AL18" i="10"/>
  <c r="AI18" i="10"/>
  <c r="AF18" i="10"/>
  <c r="AC18" i="10"/>
  <c r="Z18" i="10"/>
  <c r="W18" i="10"/>
  <c r="AF17" i="10"/>
  <c r="AC17" i="10"/>
  <c r="P11" i="9"/>
  <c r="AA16" i="10"/>
  <c r="W12" i="10"/>
  <c r="AL10" i="10"/>
  <c r="AL9" i="10"/>
  <c r="AI9" i="10"/>
  <c r="AL7" i="10"/>
  <c r="AI7" i="10"/>
  <c r="W7" i="10"/>
  <c r="AI6" i="10"/>
  <c r="W6" i="10"/>
  <c r="T155" i="9"/>
  <c r="T151" i="9"/>
  <c r="V150" i="9"/>
  <c r="T148" i="9"/>
  <c r="T147" i="9"/>
  <c r="T154" i="9"/>
  <c r="T153" i="9"/>
  <c r="B29" i="8"/>
  <c r="B16" i="8"/>
  <c r="B19" i="8"/>
  <c r="B15" i="8"/>
  <c r="B87" i="8"/>
  <c r="B30" i="8"/>
  <c r="B28" i="8"/>
  <c r="B31" i="8"/>
  <c r="B17" i="8"/>
  <c r="B18" i="8"/>
  <c r="AQ57" i="10" l="1"/>
  <c r="AQ56" i="10"/>
  <c r="AQ20" i="10"/>
  <c r="AQ53" i="10"/>
  <c r="AQ58" i="10"/>
  <c r="AQ62" i="10"/>
  <c r="O112" i="9"/>
  <c r="P112" i="9" s="1"/>
  <c r="W53" i="10"/>
  <c r="O84" i="9"/>
  <c r="P84" i="9" s="1"/>
  <c r="AC95" i="10"/>
  <c r="O119" i="9"/>
  <c r="P119" i="9" s="1"/>
  <c r="E16" i="10"/>
  <c r="Q76" i="10"/>
  <c r="AM81" i="10"/>
  <c r="AO81" i="10" s="1"/>
  <c r="Q108" i="9"/>
  <c r="Q109" i="9"/>
  <c r="Q138" i="9"/>
  <c r="O38" i="10"/>
  <c r="AM38" i="10" s="1"/>
  <c r="AO38" i="10" s="1"/>
  <c r="N38" i="10"/>
  <c r="N81" i="10"/>
  <c r="AI16" i="10"/>
  <c r="K38" i="10"/>
  <c r="K76" i="10"/>
  <c r="G28" i="10"/>
  <c r="W16" i="10"/>
  <c r="H16" i="10"/>
  <c r="F87" i="10"/>
  <c r="AM76" i="10"/>
  <c r="AO76" i="10" s="1"/>
  <c r="AQ76" i="10" s="1"/>
  <c r="F50" i="10"/>
  <c r="E97" i="10"/>
  <c r="AM12" i="10"/>
  <c r="AC88" i="10"/>
  <c r="AA97" i="10"/>
  <c r="AD97" i="10"/>
  <c r="Q131" i="9"/>
  <c r="O102" i="9"/>
  <c r="P102" i="9" s="1"/>
  <c r="F54" i="14"/>
  <c r="H54" i="14" s="1"/>
  <c r="O103" i="9"/>
  <c r="Q103" i="9" s="1"/>
  <c r="AF32" i="10"/>
  <c r="L81" i="9"/>
  <c r="AC32" i="10"/>
  <c r="K81" i="9"/>
  <c r="AI32" i="10"/>
  <c r="AI36" i="10" s="1"/>
  <c r="M81" i="9"/>
  <c r="S78" i="9" s="1"/>
  <c r="Z32" i="10"/>
  <c r="J81" i="9"/>
  <c r="AJ36" i="10"/>
  <c r="AJ24" i="10"/>
  <c r="AL6" i="10"/>
  <c r="AL16" i="10" s="1"/>
  <c r="AG24" i="10"/>
  <c r="E31" i="10"/>
  <c r="E36" i="10" s="1"/>
  <c r="AF6" i="10"/>
  <c r="AF16" i="10" s="1"/>
  <c r="AF24" i="10"/>
  <c r="Z29" i="10"/>
  <c r="Z26" i="10"/>
  <c r="AF26" i="10"/>
  <c r="AD24" i="10"/>
  <c r="AA24" i="10"/>
  <c r="AC29" i="10"/>
  <c r="AC6" i="10"/>
  <c r="Z17" i="10"/>
  <c r="Z24" i="10" s="1"/>
  <c r="X24" i="10"/>
  <c r="Z16" i="10"/>
  <c r="U24" i="10"/>
  <c r="W17" i="10"/>
  <c r="W24" i="10" s="1"/>
  <c r="W29" i="10"/>
  <c r="W36" i="10" s="1"/>
  <c r="U36" i="10"/>
  <c r="F56" i="14"/>
  <c r="H68" i="14"/>
  <c r="F40" i="14"/>
  <c r="L7" i="14"/>
  <c r="N7" i="14" s="1"/>
  <c r="T9" i="10"/>
  <c r="R8" i="14"/>
  <c r="T8" i="14" s="1"/>
  <c r="N17" i="10"/>
  <c r="L13" i="14"/>
  <c r="N31" i="10"/>
  <c r="L27" i="14"/>
  <c r="N27" i="14" s="1"/>
  <c r="N34" i="10"/>
  <c r="L30" i="14"/>
  <c r="N30" i="14" s="1"/>
  <c r="F41" i="14"/>
  <c r="K57" i="10"/>
  <c r="I43" i="14"/>
  <c r="K43" i="14" s="1"/>
  <c r="R45" i="14"/>
  <c r="T45" i="14" s="1"/>
  <c r="N64" i="10"/>
  <c r="L54" i="14"/>
  <c r="N54" i="14" s="1"/>
  <c r="R55" i="14"/>
  <c r="T55" i="14" s="1"/>
  <c r="F66" i="14"/>
  <c r="K68" i="10"/>
  <c r="I58" i="14"/>
  <c r="K58" i="14" s="1"/>
  <c r="O61" i="14"/>
  <c r="Q61" i="14" s="1"/>
  <c r="H70" i="14"/>
  <c r="H83" i="14"/>
  <c r="I79" i="14"/>
  <c r="K79" i="14" s="1"/>
  <c r="O80" i="14"/>
  <c r="Q80" i="14" s="1"/>
  <c r="K93" i="10"/>
  <c r="I69" i="14"/>
  <c r="Q94" i="10"/>
  <c r="O70" i="14"/>
  <c r="Q70" i="14" s="1"/>
  <c r="I75" i="14"/>
  <c r="K75" i="14" s="1"/>
  <c r="R76" i="14"/>
  <c r="T76" i="14" s="1"/>
  <c r="F19" i="14"/>
  <c r="O13" i="14"/>
  <c r="N23" i="10"/>
  <c r="L19" i="14"/>
  <c r="N19" i="14" s="1"/>
  <c r="F27" i="14"/>
  <c r="O31" i="10"/>
  <c r="Q31" i="10" s="1"/>
  <c r="O27" i="14"/>
  <c r="Q27" i="14" s="1"/>
  <c r="Q34" i="10"/>
  <c r="O30" i="14"/>
  <c r="Q30" i="14" s="1"/>
  <c r="F42" i="14"/>
  <c r="N57" i="10"/>
  <c r="L43" i="14"/>
  <c r="N43" i="14" s="1"/>
  <c r="F49" i="14"/>
  <c r="K63" i="10"/>
  <c r="I53" i="14"/>
  <c r="K53" i="14" s="1"/>
  <c r="Q64" i="10"/>
  <c r="O54" i="14"/>
  <c r="Q54" i="14" s="1"/>
  <c r="F67" i="14"/>
  <c r="N68" i="10"/>
  <c r="L58" i="14"/>
  <c r="N58" i="14" s="1"/>
  <c r="R61" i="14"/>
  <c r="T61" i="14" s="1"/>
  <c r="F71" i="14"/>
  <c r="F85" i="14"/>
  <c r="L79" i="14"/>
  <c r="N79" i="14" s="1"/>
  <c r="R80" i="14"/>
  <c r="T80" i="14" s="1"/>
  <c r="N93" i="10"/>
  <c r="L69" i="14"/>
  <c r="N69" i="14" s="1"/>
  <c r="T94" i="10"/>
  <c r="R70" i="14"/>
  <c r="T70" i="14" s="1"/>
  <c r="L75" i="14"/>
  <c r="N75" i="14" s="1"/>
  <c r="T7" i="10"/>
  <c r="R7" i="14"/>
  <c r="T7" i="14" s="1"/>
  <c r="R13" i="14"/>
  <c r="T13" i="14" s="1"/>
  <c r="O19" i="14"/>
  <c r="Q19" i="14" s="1"/>
  <c r="F18" i="14"/>
  <c r="F31" i="14"/>
  <c r="K30" i="10"/>
  <c r="I26" i="14"/>
  <c r="K26" i="14" s="1"/>
  <c r="T31" i="10"/>
  <c r="R27" i="14"/>
  <c r="T27" i="14" s="1"/>
  <c r="T34" i="10"/>
  <c r="R30" i="14"/>
  <c r="T30" i="14" s="1"/>
  <c r="K33" i="10"/>
  <c r="I29" i="14"/>
  <c r="K29" i="14" s="1"/>
  <c r="I38" i="14"/>
  <c r="K38" i="14" s="1"/>
  <c r="F43" i="14"/>
  <c r="K56" i="10"/>
  <c r="I42" i="14"/>
  <c r="K42" i="14" s="1"/>
  <c r="Q57" i="10"/>
  <c r="O43" i="14"/>
  <c r="Q43" i="14" s="1"/>
  <c r="F50" i="14"/>
  <c r="N63" i="10"/>
  <c r="L53" i="14"/>
  <c r="N53" i="14" s="1"/>
  <c r="R54" i="14"/>
  <c r="T54" i="14" s="1"/>
  <c r="K67" i="10"/>
  <c r="I57" i="14"/>
  <c r="K57" i="14" s="1"/>
  <c r="Q68" i="10"/>
  <c r="O58" i="14"/>
  <c r="Q58" i="14" s="1"/>
  <c r="K91" i="10"/>
  <c r="I67" i="14"/>
  <c r="K67" i="14" s="1"/>
  <c r="F72" i="14"/>
  <c r="H86" i="14"/>
  <c r="O79" i="14"/>
  <c r="Q79" i="14" s="1"/>
  <c r="I86" i="14"/>
  <c r="K86" i="14" s="1"/>
  <c r="Q93" i="10"/>
  <c r="O69" i="14"/>
  <c r="Q69" i="14" s="1"/>
  <c r="I74" i="14"/>
  <c r="K74" i="14" s="1"/>
  <c r="O75" i="14"/>
  <c r="Q75" i="14" s="1"/>
  <c r="F39" i="14"/>
  <c r="F46" i="14"/>
  <c r="Q6" i="10"/>
  <c r="O6" i="14"/>
  <c r="K22" i="10"/>
  <c r="I18" i="14"/>
  <c r="K18" i="14" s="1"/>
  <c r="K20" i="10"/>
  <c r="I16" i="14"/>
  <c r="K16" i="14" s="1"/>
  <c r="F32" i="14"/>
  <c r="L30" i="10"/>
  <c r="N30" i="10" s="1"/>
  <c r="L26" i="14"/>
  <c r="N26" i="14" s="1"/>
  <c r="I33" i="14"/>
  <c r="K33" i="14" s="1"/>
  <c r="F29" i="14"/>
  <c r="L38" i="14"/>
  <c r="N38" i="14" s="1"/>
  <c r="F44" i="14"/>
  <c r="N56" i="10"/>
  <c r="L42" i="14"/>
  <c r="N42" i="14" s="1"/>
  <c r="R43" i="14"/>
  <c r="T43" i="14" s="1"/>
  <c r="K58" i="10"/>
  <c r="I48" i="14"/>
  <c r="K48" i="14" s="1"/>
  <c r="F52" i="14"/>
  <c r="K62" i="10"/>
  <c r="I52" i="14"/>
  <c r="K52" i="14" s="1"/>
  <c r="Q63" i="10"/>
  <c r="O53" i="14"/>
  <c r="Q53" i="14" s="1"/>
  <c r="N67" i="10"/>
  <c r="L57" i="14"/>
  <c r="N57" i="14" s="1"/>
  <c r="R58" i="14"/>
  <c r="T58" i="14" s="1"/>
  <c r="N91" i="10"/>
  <c r="L67" i="14"/>
  <c r="N67" i="14" s="1"/>
  <c r="F73" i="14"/>
  <c r="I78" i="14"/>
  <c r="K78" i="14" s="1"/>
  <c r="R79" i="14"/>
  <c r="T79" i="14" s="1"/>
  <c r="L86" i="14"/>
  <c r="N86" i="14" s="1"/>
  <c r="T93" i="10"/>
  <c r="R69" i="14"/>
  <c r="T69" i="14" s="1"/>
  <c r="L74" i="14"/>
  <c r="N74" i="14" s="1"/>
  <c r="R75" i="14"/>
  <c r="T75" i="14" s="1"/>
  <c r="I39" i="14"/>
  <c r="K39" i="14" s="1"/>
  <c r="N6" i="10"/>
  <c r="L6" i="14"/>
  <c r="T6" i="10"/>
  <c r="R6" i="14"/>
  <c r="L18" i="14"/>
  <c r="N18" i="14" s="1"/>
  <c r="K23" i="10"/>
  <c r="I19" i="14"/>
  <c r="K19" i="14" s="1"/>
  <c r="F33" i="14"/>
  <c r="O30" i="10"/>
  <c r="O26" i="14"/>
  <c r="Q26" i="14" s="1"/>
  <c r="N33" i="10"/>
  <c r="L29" i="14"/>
  <c r="N29" i="14" s="1"/>
  <c r="L33" i="14"/>
  <c r="N33" i="14" s="1"/>
  <c r="K53" i="10"/>
  <c r="I37" i="14"/>
  <c r="K37" i="14" s="1"/>
  <c r="O38" i="14"/>
  <c r="Q38" i="14" s="1"/>
  <c r="K55" i="10"/>
  <c r="I41" i="14"/>
  <c r="K41" i="14" s="1"/>
  <c r="Q56" i="10"/>
  <c r="O42" i="14"/>
  <c r="Q42" i="14" s="1"/>
  <c r="N58" i="10"/>
  <c r="L48" i="14"/>
  <c r="N48" i="14" s="1"/>
  <c r="F53" i="14"/>
  <c r="N62" i="10"/>
  <c r="L52" i="14"/>
  <c r="N52" i="14" s="1"/>
  <c r="R53" i="14"/>
  <c r="T53" i="14" s="1"/>
  <c r="Q67" i="10"/>
  <c r="O57" i="14"/>
  <c r="Q57" i="14" s="1"/>
  <c r="K90" i="10"/>
  <c r="I66" i="14"/>
  <c r="K66" i="14" s="1"/>
  <c r="Q91" i="10"/>
  <c r="O67" i="14"/>
  <c r="Q67" i="14" s="1"/>
  <c r="H74" i="14"/>
  <c r="L78" i="14"/>
  <c r="N78" i="14" s="1"/>
  <c r="I85" i="14"/>
  <c r="K85" i="14" s="1"/>
  <c r="O86" i="14"/>
  <c r="Q86" i="14" s="1"/>
  <c r="I73" i="14"/>
  <c r="K73" i="14" s="1"/>
  <c r="O74" i="14"/>
  <c r="Q74" i="14" s="1"/>
  <c r="L39" i="14"/>
  <c r="N39" i="14" s="1"/>
  <c r="I11" i="14"/>
  <c r="K21" i="10"/>
  <c r="I17" i="14"/>
  <c r="K17" i="14" s="1"/>
  <c r="O18" i="14"/>
  <c r="Q18" i="14" s="1"/>
  <c r="K26" i="10"/>
  <c r="I22" i="14"/>
  <c r="K22" i="14" s="1"/>
  <c r="I25" i="14"/>
  <c r="T30" i="10"/>
  <c r="R26" i="14"/>
  <c r="T26" i="14" s="1"/>
  <c r="Q33" i="10"/>
  <c r="O29" i="14"/>
  <c r="Q29" i="14" s="1"/>
  <c r="I32" i="14"/>
  <c r="K32" i="14" s="1"/>
  <c r="O33" i="14"/>
  <c r="Q33" i="14" s="1"/>
  <c r="F28" i="14"/>
  <c r="F37" i="14"/>
  <c r="N53" i="10"/>
  <c r="L37" i="14"/>
  <c r="N37" i="14" s="1"/>
  <c r="R38" i="14"/>
  <c r="T38" i="14" s="1"/>
  <c r="N55" i="10"/>
  <c r="L41" i="14"/>
  <c r="N41" i="14" s="1"/>
  <c r="R42" i="14"/>
  <c r="T42" i="14" s="1"/>
  <c r="I47" i="14"/>
  <c r="K47" i="14" s="1"/>
  <c r="Q58" i="10"/>
  <c r="O48" i="14"/>
  <c r="Q48" i="14" s="1"/>
  <c r="K60" i="10"/>
  <c r="I50" i="14"/>
  <c r="K50" i="14" s="1"/>
  <c r="Q62" i="10"/>
  <c r="O52" i="14"/>
  <c r="Q52" i="14" s="1"/>
  <c r="R57" i="14"/>
  <c r="T57" i="14" s="1"/>
  <c r="L66" i="14"/>
  <c r="N66" i="14" s="1"/>
  <c r="T91" i="10"/>
  <c r="R67" i="14"/>
  <c r="T67" i="14" s="1"/>
  <c r="F75" i="14"/>
  <c r="O78" i="14"/>
  <c r="Q78" i="14" s="1"/>
  <c r="L85" i="14"/>
  <c r="N85" i="14" s="1"/>
  <c r="R86" i="14"/>
  <c r="T86" i="14" s="1"/>
  <c r="L73" i="14"/>
  <c r="N73" i="14" s="1"/>
  <c r="R74" i="14"/>
  <c r="T74" i="14" s="1"/>
  <c r="O39" i="14"/>
  <c r="Q39" i="14" s="1"/>
  <c r="L11" i="14"/>
  <c r="N11" i="14" s="1"/>
  <c r="T19" i="10"/>
  <c r="R15" i="14"/>
  <c r="T15" i="14" s="1"/>
  <c r="L17" i="14"/>
  <c r="N17" i="14" s="1"/>
  <c r="T22" i="10"/>
  <c r="R18" i="14"/>
  <c r="T18" i="14" s="1"/>
  <c r="N26" i="10"/>
  <c r="L22" i="14"/>
  <c r="N22" i="14" s="1"/>
  <c r="N29" i="10"/>
  <c r="L25" i="14"/>
  <c r="T33" i="10"/>
  <c r="R29" i="14"/>
  <c r="T29" i="14" s="1"/>
  <c r="L32" i="14"/>
  <c r="N32" i="14" s="1"/>
  <c r="K32" i="10"/>
  <c r="I28" i="14"/>
  <c r="K28" i="14" s="1"/>
  <c r="F38" i="14"/>
  <c r="Q53" i="10"/>
  <c r="O37" i="14"/>
  <c r="Q37" i="14" s="1"/>
  <c r="Q55" i="10"/>
  <c r="O41" i="14"/>
  <c r="Q41" i="14" s="1"/>
  <c r="F45" i="14"/>
  <c r="L47" i="14"/>
  <c r="N47" i="14" s="1"/>
  <c r="R48" i="14"/>
  <c r="T48" i="14" s="1"/>
  <c r="F55" i="14"/>
  <c r="N60" i="10"/>
  <c r="L50" i="14"/>
  <c r="N50" i="14" s="1"/>
  <c r="R52" i="14"/>
  <c r="T52" i="14" s="1"/>
  <c r="K89" i="10"/>
  <c r="I65" i="14"/>
  <c r="K65" i="14" s="1"/>
  <c r="Q90" i="10"/>
  <c r="O66" i="14"/>
  <c r="Q66" i="14" s="1"/>
  <c r="F76" i="14"/>
  <c r="R78" i="14"/>
  <c r="T78" i="14" s="1"/>
  <c r="I83" i="14"/>
  <c r="K83" i="14" s="1"/>
  <c r="O85" i="14"/>
  <c r="Q85" i="14" s="1"/>
  <c r="K96" i="10"/>
  <c r="I72" i="14"/>
  <c r="K72" i="14" s="1"/>
  <c r="O73" i="14"/>
  <c r="Q73" i="14" s="1"/>
  <c r="R39" i="14"/>
  <c r="T39" i="14" s="1"/>
  <c r="N20" i="10"/>
  <c r="L16" i="14"/>
  <c r="N16" i="14" s="1"/>
  <c r="O7" i="14"/>
  <c r="Q7" i="14" s="1"/>
  <c r="O11" i="14"/>
  <c r="Q11" i="14" s="1"/>
  <c r="O17" i="14"/>
  <c r="Q17" i="14" s="1"/>
  <c r="F22" i="14"/>
  <c r="O22" i="14"/>
  <c r="Q22" i="14" s="1"/>
  <c r="O25" i="14"/>
  <c r="K35" i="10"/>
  <c r="I31" i="14"/>
  <c r="K31" i="14" s="1"/>
  <c r="O32" i="14"/>
  <c r="Q32" i="14" s="1"/>
  <c r="N32" i="10"/>
  <c r="L28" i="14"/>
  <c r="N28" i="14" s="1"/>
  <c r="R37" i="14"/>
  <c r="T37" i="14" s="1"/>
  <c r="R41" i="14"/>
  <c r="T41" i="14" s="1"/>
  <c r="F47" i="14"/>
  <c r="I46" i="14"/>
  <c r="K46" i="14" s="1"/>
  <c r="O47" i="14"/>
  <c r="Q47" i="14" s="1"/>
  <c r="K59" i="10"/>
  <c r="I49" i="14"/>
  <c r="K49" i="14" s="1"/>
  <c r="Q60" i="10"/>
  <c r="O50" i="14"/>
  <c r="Q50" i="14" s="1"/>
  <c r="F57" i="14"/>
  <c r="N89" i="10"/>
  <c r="L65" i="14"/>
  <c r="N65" i="14" s="1"/>
  <c r="T90" i="10"/>
  <c r="R66" i="14"/>
  <c r="T66" i="14" s="1"/>
  <c r="F77" i="14"/>
  <c r="L83" i="14"/>
  <c r="N83" i="14" s="1"/>
  <c r="R85" i="14"/>
  <c r="T85" i="14" s="1"/>
  <c r="N96" i="10"/>
  <c r="L72" i="14"/>
  <c r="N72" i="14" s="1"/>
  <c r="R73" i="14"/>
  <c r="T73" i="14" s="1"/>
  <c r="I77" i="14"/>
  <c r="K77" i="14" s="1"/>
  <c r="O15" i="14"/>
  <c r="Q15" i="14" s="1"/>
  <c r="I9" i="14"/>
  <c r="L9" i="14"/>
  <c r="N9" i="14" s="1"/>
  <c r="T12" i="10"/>
  <c r="R11" i="14"/>
  <c r="T11" i="14" s="1"/>
  <c r="F13" i="14"/>
  <c r="K18" i="10"/>
  <c r="I14" i="14"/>
  <c r="K14" i="14" s="1"/>
  <c r="T21" i="10"/>
  <c r="R17" i="14"/>
  <c r="T17" i="14" s="1"/>
  <c r="T26" i="10"/>
  <c r="R22" i="14"/>
  <c r="T22" i="14" s="1"/>
  <c r="T29" i="10"/>
  <c r="R25" i="14"/>
  <c r="L35" i="10"/>
  <c r="N35" i="10" s="1"/>
  <c r="L31" i="14"/>
  <c r="N31" i="14" s="1"/>
  <c r="F48" i="14"/>
  <c r="R47" i="14"/>
  <c r="T47" i="14" s="1"/>
  <c r="N59" i="10"/>
  <c r="L49" i="14"/>
  <c r="N49" i="14" s="1"/>
  <c r="R50" i="14"/>
  <c r="T50" i="14" s="1"/>
  <c r="F58" i="14"/>
  <c r="K88" i="10"/>
  <c r="I64" i="14"/>
  <c r="K64" i="14" s="1"/>
  <c r="O65" i="14"/>
  <c r="Q65" i="14" s="1"/>
  <c r="F78" i="14"/>
  <c r="I81" i="14"/>
  <c r="O83" i="14"/>
  <c r="Q83" i="14" s="1"/>
  <c r="K95" i="10"/>
  <c r="I71" i="14"/>
  <c r="K71" i="14" s="1"/>
  <c r="Q96" i="10"/>
  <c r="O72" i="14"/>
  <c r="Q72" i="14" s="1"/>
  <c r="L77" i="14"/>
  <c r="N77" i="14" s="1"/>
  <c r="T23" i="10"/>
  <c r="R19" i="14"/>
  <c r="T19" i="14" s="1"/>
  <c r="I8" i="14"/>
  <c r="O9" i="14"/>
  <c r="Q9" i="14" s="1"/>
  <c r="F17" i="14"/>
  <c r="N18" i="10"/>
  <c r="L14" i="14"/>
  <c r="N14" i="14" s="1"/>
  <c r="K19" i="10"/>
  <c r="I15" i="14"/>
  <c r="K15" i="14" s="1"/>
  <c r="F25" i="14"/>
  <c r="Q32" i="10"/>
  <c r="O28" i="14"/>
  <c r="Q28" i="14" s="1"/>
  <c r="O35" i="10"/>
  <c r="Q35" i="10" s="1"/>
  <c r="O31" i="14"/>
  <c r="Q31" i="14" s="1"/>
  <c r="K34" i="10"/>
  <c r="I30" i="14"/>
  <c r="K30" i="14" s="1"/>
  <c r="I44" i="14"/>
  <c r="K44" i="14" s="1"/>
  <c r="I45" i="14"/>
  <c r="K45" i="14" s="1"/>
  <c r="O46" i="14"/>
  <c r="Q46" i="14" s="1"/>
  <c r="Q59" i="10"/>
  <c r="O49" i="14"/>
  <c r="Q49" i="14" s="1"/>
  <c r="K65" i="10"/>
  <c r="I55" i="14"/>
  <c r="K55" i="14" s="1"/>
  <c r="F61" i="14"/>
  <c r="N88" i="10"/>
  <c r="L64" i="14"/>
  <c r="N64" i="14" s="1"/>
  <c r="T89" i="10"/>
  <c r="R65" i="14"/>
  <c r="T65" i="14" s="1"/>
  <c r="F79" i="14"/>
  <c r="L81" i="14"/>
  <c r="N81" i="14" s="1"/>
  <c r="R83" i="14"/>
  <c r="T83" i="14" s="1"/>
  <c r="N95" i="10"/>
  <c r="L71" i="14"/>
  <c r="N71" i="14" s="1"/>
  <c r="T96" i="10"/>
  <c r="R72" i="14"/>
  <c r="T72" i="14" s="1"/>
  <c r="I76" i="14"/>
  <c r="K76" i="14" s="1"/>
  <c r="O77" i="14"/>
  <c r="Q77" i="14" s="1"/>
  <c r="I6" i="14"/>
  <c r="L8" i="14"/>
  <c r="N8" i="14" s="1"/>
  <c r="T10" i="10"/>
  <c r="R9" i="14"/>
  <c r="T9" i="14" s="1"/>
  <c r="F14" i="14"/>
  <c r="Q18" i="10"/>
  <c r="Q24" i="10" s="1"/>
  <c r="O14" i="14"/>
  <c r="Q14" i="14" s="1"/>
  <c r="O16" i="14"/>
  <c r="Q16" i="14" s="1"/>
  <c r="N19" i="10"/>
  <c r="L15" i="14"/>
  <c r="N15" i="14" s="1"/>
  <c r="F26" i="14"/>
  <c r="R28" i="14"/>
  <c r="T28" i="14" s="1"/>
  <c r="R35" i="10"/>
  <c r="T35" i="10" s="1"/>
  <c r="R31" i="14"/>
  <c r="T31" i="14" s="1"/>
  <c r="L44" i="14"/>
  <c r="N44" i="14" s="1"/>
  <c r="L45" i="14"/>
  <c r="N45" i="14" s="1"/>
  <c r="R46" i="14"/>
  <c r="T46" i="14" s="1"/>
  <c r="R49" i="14"/>
  <c r="T49" i="14" s="1"/>
  <c r="N65" i="10"/>
  <c r="L55" i="14"/>
  <c r="N55" i="14" s="1"/>
  <c r="F64" i="14"/>
  <c r="K71" i="10"/>
  <c r="I61" i="14"/>
  <c r="K61" i="14" s="1"/>
  <c r="O64" i="14"/>
  <c r="Q64" i="14" s="1"/>
  <c r="F80" i="14"/>
  <c r="I80" i="14"/>
  <c r="K80" i="14" s="1"/>
  <c r="O81" i="14"/>
  <c r="Q81" i="14" s="1"/>
  <c r="K94" i="10"/>
  <c r="I70" i="14"/>
  <c r="K70" i="14" s="1"/>
  <c r="O71" i="14"/>
  <c r="Q71" i="14" s="1"/>
  <c r="L76" i="14"/>
  <c r="N76" i="14" s="1"/>
  <c r="R77" i="14"/>
  <c r="T77" i="14" s="1"/>
  <c r="F15" i="14"/>
  <c r="I7" i="14"/>
  <c r="O8" i="14"/>
  <c r="Q8" i="14" s="1"/>
  <c r="I13" i="14"/>
  <c r="T18" i="10"/>
  <c r="R14" i="14"/>
  <c r="T14" i="14" s="1"/>
  <c r="T20" i="10"/>
  <c r="R16" i="14"/>
  <c r="T16" i="14" s="1"/>
  <c r="K31" i="10"/>
  <c r="I27" i="14"/>
  <c r="K27" i="14" s="1"/>
  <c r="F30" i="14"/>
  <c r="R44" i="14"/>
  <c r="T44" i="14" s="1"/>
  <c r="O45" i="14"/>
  <c r="Q45" i="14" s="1"/>
  <c r="K64" i="10"/>
  <c r="I54" i="14"/>
  <c r="K54" i="14" s="1"/>
  <c r="Q65" i="10"/>
  <c r="O55" i="14"/>
  <c r="Q55" i="14" s="1"/>
  <c r="F65" i="14"/>
  <c r="N71" i="10"/>
  <c r="L61" i="14"/>
  <c r="N61" i="14" s="1"/>
  <c r="T88" i="10"/>
  <c r="R64" i="14"/>
  <c r="T64" i="14" s="1"/>
  <c r="F69" i="14"/>
  <c r="H69" i="14" s="1"/>
  <c r="F81" i="14"/>
  <c r="H81" i="14" s="1"/>
  <c r="L80" i="14"/>
  <c r="N80" i="14" s="1"/>
  <c r="R81" i="14"/>
  <c r="T81" i="14" s="1"/>
  <c r="N94" i="10"/>
  <c r="L70" i="14"/>
  <c r="N70" i="14" s="1"/>
  <c r="R95" i="10"/>
  <c r="R71" i="14"/>
  <c r="T71" i="14" s="1"/>
  <c r="O76" i="14"/>
  <c r="Q76" i="14" s="1"/>
  <c r="F16" i="14"/>
  <c r="D28" i="10"/>
  <c r="D99" i="10" s="1"/>
  <c r="E24" i="10"/>
  <c r="B36" i="10"/>
  <c r="B24" i="10"/>
  <c r="O139" i="9"/>
  <c r="P139" i="9" s="1"/>
  <c r="D14" i="9"/>
  <c r="O92" i="9"/>
  <c r="P92" i="9" s="1"/>
  <c r="O141" i="9"/>
  <c r="P141" i="9" s="1"/>
  <c r="O50" i="9"/>
  <c r="Q50" i="9" s="1"/>
  <c r="I56" i="14"/>
  <c r="K56" i="14" s="1"/>
  <c r="P7" i="9"/>
  <c r="O51" i="9"/>
  <c r="O6" i="9"/>
  <c r="I40" i="14"/>
  <c r="K40" i="14" s="1"/>
  <c r="P52" i="9"/>
  <c r="O133" i="9"/>
  <c r="P133" i="9" s="1"/>
  <c r="P33" i="9"/>
  <c r="O88" i="9"/>
  <c r="P88" i="9" s="1"/>
  <c r="O15" i="9"/>
  <c r="O113" i="9"/>
  <c r="P8" i="9"/>
  <c r="O16" i="9"/>
  <c r="Q16" i="9" s="1"/>
  <c r="O137" i="9"/>
  <c r="P137" i="9" s="1"/>
  <c r="C36" i="10"/>
  <c r="O80" i="9"/>
  <c r="Q80" i="9" s="1"/>
  <c r="P10" i="9"/>
  <c r="P36" i="9"/>
  <c r="P13" i="9"/>
  <c r="O44" i="14"/>
  <c r="Q44" i="14" s="1"/>
  <c r="P73" i="9"/>
  <c r="P37" i="9"/>
  <c r="P27" i="9"/>
  <c r="P17" i="9"/>
  <c r="C14" i="9"/>
  <c r="T156" i="9"/>
  <c r="AP38" i="10" l="1"/>
  <c r="AQ38" i="10"/>
  <c r="AP81" i="10"/>
  <c r="AQ81" i="10"/>
  <c r="R6" i="9"/>
  <c r="P6" i="9"/>
  <c r="AP76" i="10"/>
  <c r="Q141" i="9"/>
  <c r="Q111" i="9"/>
  <c r="Q30" i="10"/>
  <c r="O36" i="10"/>
  <c r="Q85" i="9"/>
  <c r="Q90" i="9"/>
  <c r="Q88" i="9"/>
  <c r="Q102" i="9"/>
  <c r="Q113" i="9"/>
  <c r="Q139" i="9"/>
  <c r="Q106" i="9"/>
  <c r="Q133" i="9"/>
  <c r="Q107" i="9"/>
  <c r="Q86" i="9"/>
  <c r="P51" i="9"/>
  <c r="Q51" i="9"/>
  <c r="Q94" i="9"/>
  <c r="Q38" i="10"/>
  <c r="Q110" i="9"/>
  <c r="Q135" i="9"/>
  <c r="Q96" i="9"/>
  <c r="Q114" i="9"/>
  <c r="P15" i="9"/>
  <c r="Q15" i="9"/>
  <c r="P47" i="9"/>
  <c r="Q47" i="9"/>
  <c r="AC16" i="10"/>
  <c r="Q92" i="9"/>
  <c r="Q112" i="9"/>
  <c r="Q119" i="9"/>
  <c r="Q84" i="9"/>
  <c r="Q136" i="9"/>
  <c r="Q137" i="9"/>
  <c r="AO12" i="10"/>
  <c r="AM16" i="10"/>
  <c r="Q6" i="9"/>
  <c r="D100" i="10"/>
  <c r="T16" i="10"/>
  <c r="Q16" i="10"/>
  <c r="F98" i="10"/>
  <c r="F99" i="10" s="1"/>
  <c r="Q95" i="10"/>
  <c r="AM95" i="10"/>
  <c r="AO95" i="10" s="1"/>
  <c r="AP95" i="10" s="1"/>
  <c r="N90" i="10"/>
  <c r="AM90" i="10"/>
  <c r="AO90" i="10" s="1"/>
  <c r="L97" i="10"/>
  <c r="AM71" i="10"/>
  <c r="AO71" i="10" s="1"/>
  <c r="AQ71" i="10" s="1"/>
  <c r="AM88" i="10"/>
  <c r="T95" i="10"/>
  <c r="R97" i="10"/>
  <c r="R98" i="10" s="1"/>
  <c r="Q89" i="10"/>
  <c r="AM89" i="10"/>
  <c r="AO89" i="10" s="1"/>
  <c r="AQ89" i="10" s="1"/>
  <c r="Q88" i="10"/>
  <c r="O97" i="10"/>
  <c r="AC36" i="10"/>
  <c r="AA36" i="10"/>
  <c r="Z36" i="10"/>
  <c r="P55" i="9"/>
  <c r="O81" i="9"/>
  <c r="Q81" i="9" s="1"/>
  <c r="AG36" i="10"/>
  <c r="AR36" i="10" s="1"/>
  <c r="P16" i="9"/>
  <c r="AM34" i="10"/>
  <c r="AM17" i="10"/>
  <c r="AM18" i="10"/>
  <c r="AM31" i="10"/>
  <c r="AM30" i="10"/>
  <c r="AM26" i="10"/>
  <c r="AM32" i="10"/>
  <c r="AM33" i="10"/>
  <c r="AM22" i="10"/>
  <c r="AM21" i="10"/>
  <c r="AM29" i="10"/>
  <c r="AM35" i="10"/>
  <c r="AM23" i="10"/>
  <c r="X36" i="10"/>
  <c r="H66" i="10"/>
  <c r="H65" i="10"/>
  <c r="AD36" i="10"/>
  <c r="AF29" i="10"/>
  <c r="AC19" i="10"/>
  <c r="H31" i="10"/>
  <c r="H95" i="10"/>
  <c r="H59" i="10"/>
  <c r="H55" i="10"/>
  <c r="H54" i="10"/>
  <c r="H33" i="10"/>
  <c r="H22" i="10"/>
  <c r="H56" i="10"/>
  <c r="H21" i="10"/>
  <c r="H68" i="10"/>
  <c r="H91" i="10"/>
  <c r="H23" i="10"/>
  <c r="H89" i="10"/>
  <c r="H34" i="10"/>
  <c r="H88" i="10"/>
  <c r="H17" i="10"/>
  <c r="H53" i="10"/>
  <c r="H96" i="10"/>
  <c r="H60" i="10"/>
  <c r="H67" i="10"/>
  <c r="H32" i="10"/>
  <c r="H90" i="10"/>
  <c r="H20" i="10"/>
  <c r="H19" i="10"/>
  <c r="H18" i="10"/>
  <c r="H93" i="10"/>
  <c r="H71" i="10"/>
  <c r="H26" i="10"/>
  <c r="H62" i="10"/>
  <c r="H40" i="14"/>
  <c r="K92" i="10"/>
  <c r="I68" i="14"/>
  <c r="H56" i="14"/>
  <c r="L24" i="10"/>
  <c r="H57" i="10"/>
  <c r="L36" i="10"/>
  <c r="K6" i="10"/>
  <c r="H63" i="10"/>
  <c r="H30" i="10"/>
  <c r="H58" i="10"/>
  <c r="H65" i="14"/>
  <c r="AA65" i="14"/>
  <c r="AC65" i="14" s="1"/>
  <c r="AA30" i="14"/>
  <c r="AC30" i="14" s="1"/>
  <c r="AD30" i="14" s="1"/>
  <c r="H30" i="14"/>
  <c r="H64" i="14"/>
  <c r="AA64" i="14"/>
  <c r="AC64" i="14" s="1"/>
  <c r="AD64" i="14" s="1"/>
  <c r="H79" i="14"/>
  <c r="AA79" i="14"/>
  <c r="AC79" i="14" s="1"/>
  <c r="AD79" i="14" s="1"/>
  <c r="F20" i="14"/>
  <c r="AA13" i="14"/>
  <c r="H13" i="14"/>
  <c r="H47" i="14"/>
  <c r="AA47" i="14"/>
  <c r="AC47" i="14" s="1"/>
  <c r="AD47" i="14" s="1"/>
  <c r="AA75" i="14"/>
  <c r="AC75" i="14" s="1"/>
  <c r="AD75" i="14" s="1"/>
  <c r="H75" i="14"/>
  <c r="AA74" i="14"/>
  <c r="AC74" i="14" s="1"/>
  <c r="AD74" i="14" s="1"/>
  <c r="H53" i="14"/>
  <c r="AA53" i="14"/>
  <c r="AC53" i="14" s="1"/>
  <c r="AD53" i="14" s="1"/>
  <c r="H46" i="14"/>
  <c r="H18" i="14"/>
  <c r="AA18" i="14"/>
  <c r="AC18" i="14" s="1"/>
  <c r="AD18" i="14" s="1"/>
  <c r="AA42" i="14"/>
  <c r="AC42" i="14" s="1"/>
  <c r="H42" i="14"/>
  <c r="Q13" i="14"/>
  <c r="Q20" i="14" s="1"/>
  <c r="O20" i="14"/>
  <c r="H66" i="14"/>
  <c r="AA66" i="14"/>
  <c r="AC66" i="14" s="1"/>
  <c r="AD66" i="14" s="1"/>
  <c r="N16" i="10"/>
  <c r="AA54" i="14"/>
  <c r="AC54" i="14" s="1"/>
  <c r="AD54" i="14" s="1"/>
  <c r="I24" i="10"/>
  <c r="K7" i="14"/>
  <c r="AA7" i="14"/>
  <c r="AC7" i="14" s="1"/>
  <c r="AD7" i="14" s="1"/>
  <c r="AA25" i="14"/>
  <c r="H25" i="14"/>
  <c r="F34" i="14"/>
  <c r="K8" i="14"/>
  <c r="AA8" i="14"/>
  <c r="AC8" i="14" s="1"/>
  <c r="AD8" i="14" s="1"/>
  <c r="AA81" i="14"/>
  <c r="AC81" i="14" s="1"/>
  <c r="AI98" i="14" s="1"/>
  <c r="K81" i="14"/>
  <c r="T25" i="14"/>
  <c r="T34" i="14" s="1"/>
  <c r="R34" i="14"/>
  <c r="AA57" i="14"/>
  <c r="AC57" i="14" s="1"/>
  <c r="H57" i="14"/>
  <c r="Q25" i="14"/>
  <c r="Q34" i="14" s="1"/>
  <c r="O34" i="14"/>
  <c r="H55" i="14"/>
  <c r="AA55" i="14"/>
  <c r="AC55" i="14" s="1"/>
  <c r="AD55" i="14" s="1"/>
  <c r="H38" i="14"/>
  <c r="AA38" i="14"/>
  <c r="AC38" i="14" s="1"/>
  <c r="AD38" i="14" s="1"/>
  <c r="H37" i="14"/>
  <c r="AA37" i="14"/>
  <c r="AC37" i="14" s="1"/>
  <c r="K25" i="14"/>
  <c r="K34" i="14" s="1"/>
  <c r="I34" i="14"/>
  <c r="T6" i="14"/>
  <c r="T12" i="14" s="1"/>
  <c r="R12" i="14"/>
  <c r="AA39" i="14"/>
  <c r="AC39" i="14" s="1"/>
  <c r="H39" i="14"/>
  <c r="H67" i="14"/>
  <c r="AA67" i="14"/>
  <c r="AC67" i="14" s="1"/>
  <c r="AD67" i="14" s="1"/>
  <c r="H19" i="14"/>
  <c r="AA19" i="14"/>
  <c r="AC19" i="14" s="1"/>
  <c r="AD19" i="14" s="1"/>
  <c r="AA86" i="14"/>
  <c r="AC86" i="14" s="1"/>
  <c r="AD86" i="14" s="1"/>
  <c r="H16" i="14"/>
  <c r="AA16" i="14"/>
  <c r="AC16" i="14" s="1"/>
  <c r="AD16" i="14" s="1"/>
  <c r="H15" i="14"/>
  <c r="AA15" i="14"/>
  <c r="AC15" i="14" s="1"/>
  <c r="AD15" i="14" s="1"/>
  <c r="H14" i="14"/>
  <c r="AA14" i="14"/>
  <c r="AC14" i="14" s="1"/>
  <c r="AD14" i="14" s="1"/>
  <c r="H78" i="14"/>
  <c r="AA78" i="14"/>
  <c r="AC78" i="14" s="1"/>
  <c r="AD78" i="14" s="1"/>
  <c r="AA76" i="14"/>
  <c r="AC76" i="14" s="1"/>
  <c r="AD76" i="14" s="1"/>
  <c r="H76" i="14"/>
  <c r="H28" i="14"/>
  <c r="AA28" i="14"/>
  <c r="AC28" i="14" s="1"/>
  <c r="AD28" i="14" s="1"/>
  <c r="N6" i="14"/>
  <c r="N12" i="14" s="1"/>
  <c r="L12" i="14"/>
  <c r="H44" i="14"/>
  <c r="AA44" i="14"/>
  <c r="AC44" i="14" s="1"/>
  <c r="AD44" i="14" s="1"/>
  <c r="AA32" i="14"/>
  <c r="AC32" i="14" s="1"/>
  <c r="H32" i="14"/>
  <c r="AA72" i="14"/>
  <c r="AC72" i="14" s="1"/>
  <c r="AD72" i="14" s="1"/>
  <c r="H72" i="14"/>
  <c r="H50" i="14"/>
  <c r="AA50" i="14"/>
  <c r="AC50" i="14" s="1"/>
  <c r="AD50" i="14" s="1"/>
  <c r="AA83" i="14"/>
  <c r="AC83" i="14" s="1"/>
  <c r="AD83" i="14" s="1"/>
  <c r="R20" i="14"/>
  <c r="R36" i="10"/>
  <c r="AA80" i="14"/>
  <c r="AC80" i="14" s="1"/>
  <c r="H80" i="14"/>
  <c r="H26" i="14"/>
  <c r="AA26" i="14"/>
  <c r="AC26" i="14" s="1"/>
  <c r="AD26" i="14" s="1"/>
  <c r="H61" i="14"/>
  <c r="AA61" i="14"/>
  <c r="AC61" i="14" s="1"/>
  <c r="AD61" i="14" s="1"/>
  <c r="AA9" i="14"/>
  <c r="AC9" i="14" s="1"/>
  <c r="AD9" i="14" s="1"/>
  <c r="K9" i="14"/>
  <c r="H22" i="14"/>
  <c r="AA22" i="14"/>
  <c r="AC22" i="14" s="1"/>
  <c r="AD22" i="14" s="1"/>
  <c r="H85" i="14"/>
  <c r="AA85" i="14"/>
  <c r="AC85" i="14" s="1"/>
  <c r="AD85" i="14" s="1"/>
  <c r="L20" i="14"/>
  <c r="N13" i="14"/>
  <c r="N20" i="14" s="1"/>
  <c r="AA70" i="14"/>
  <c r="AC70" i="14" s="1"/>
  <c r="H29" i="10"/>
  <c r="I36" i="10"/>
  <c r="H48" i="14"/>
  <c r="AA48" i="14"/>
  <c r="AC48" i="14" s="1"/>
  <c r="AD48" i="14" s="1"/>
  <c r="H77" i="14"/>
  <c r="AA77" i="14"/>
  <c r="AC77" i="14" s="1"/>
  <c r="AD77" i="14" s="1"/>
  <c r="H45" i="14"/>
  <c r="AA45" i="14"/>
  <c r="AC45" i="14" s="1"/>
  <c r="T20" i="14"/>
  <c r="H33" i="14"/>
  <c r="AA33" i="14"/>
  <c r="AC33" i="14" s="1"/>
  <c r="AI97" i="14" s="1"/>
  <c r="H73" i="14"/>
  <c r="AA73" i="14"/>
  <c r="AC73" i="14" s="1"/>
  <c r="AD73" i="14" s="1"/>
  <c r="H52" i="14"/>
  <c r="AA52" i="14"/>
  <c r="AC52" i="14" s="1"/>
  <c r="AD52" i="14" s="1"/>
  <c r="H71" i="14"/>
  <c r="AA71" i="14"/>
  <c r="AC71" i="14" s="1"/>
  <c r="H49" i="14"/>
  <c r="AA49" i="14"/>
  <c r="AC49" i="14" s="1"/>
  <c r="H27" i="14"/>
  <c r="AA27" i="14"/>
  <c r="AC27" i="14" s="1"/>
  <c r="AD27" i="14" s="1"/>
  <c r="K13" i="14"/>
  <c r="K20" i="14" s="1"/>
  <c r="I20" i="14"/>
  <c r="K6" i="14"/>
  <c r="I12" i="14"/>
  <c r="AA6" i="14"/>
  <c r="AA17" i="14"/>
  <c r="AC17" i="14" s="1"/>
  <c r="H17" i="14"/>
  <c r="H58" i="14"/>
  <c r="AA58" i="14"/>
  <c r="AC58" i="14" s="1"/>
  <c r="AD58" i="14" s="1"/>
  <c r="N25" i="14"/>
  <c r="N34" i="14" s="1"/>
  <c r="L34" i="14"/>
  <c r="K11" i="14"/>
  <c r="AA11" i="14"/>
  <c r="AC11" i="14" s="1"/>
  <c r="AD11" i="14" s="1"/>
  <c r="H29" i="14"/>
  <c r="AA29" i="14"/>
  <c r="AC29" i="14" s="1"/>
  <c r="AD29" i="14" s="1"/>
  <c r="O12" i="14"/>
  <c r="Q6" i="14"/>
  <c r="Q12" i="14" s="1"/>
  <c r="H43" i="14"/>
  <c r="AA43" i="14"/>
  <c r="AC43" i="14" s="1"/>
  <c r="AD43" i="14" s="1"/>
  <c r="AA31" i="14"/>
  <c r="AC31" i="14" s="1"/>
  <c r="AD31" i="14" s="1"/>
  <c r="H31" i="14"/>
  <c r="AA69" i="14"/>
  <c r="AC69" i="14" s="1"/>
  <c r="K69" i="14"/>
  <c r="H41" i="14"/>
  <c r="AA41" i="14"/>
  <c r="AC41" i="14" s="1"/>
  <c r="AD41" i="14" s="1"/>
  <c r="T32" i="10"/>
  <c r="T36" i="10" s="1"/>
  <c r="O91" i="9"/>
  <c r="P91" i="9" s="1"/>
  <c r="N36" i="10"/>
  <c r="N24" i="10"/>
  <c r="L68" i="14"/>
  <c r="N68" i="14" s="1"/>
  <c r="L56" i="14"/>
  <c r="N56" i="14" s="1"/>
  <c r="L40" i="14"/>
  <c r="N40" i="14" s="1"/>
  <c r="H64" i="10"/>
  <c r="H94" i="10"/>
  <c r="H92" i="10"/>
  <c r="O14" i="9"/>
  <c r="Q14" i="9" s="1"/>
  <c r="AP90" i="10" l="1"/>
  <c r="AQ90" i="10"/>
  <c r="AC24" i="10"/>
  <c r="AQ19" i="10"/>
  <c r="AQ95" i="10"/>
  <c r="AF36" i="10"/>
  <c r="AP71" i="10"/>
  <c r="K97" i="10"/>
  <c r="P45" i="9"/>
  <c r="Q45" i="9"/>
  <c r="AP89" i="10"/>
  <c r="Q91" i="9"/>
  <c r="AP12" i="10"/>
  <c r="AO16" i="10"/>
  <c r="AP16" i="10" s="1"/>
  <c r="K16" i="10"/>
  <c r="H97" i="10"/>
  <c r="R99" i="10"/>
  <c r="AO22" i="10"/>
  <c r="AO21" i="10"/>
  <c r="AP21" i="10" s="1"/>
  <c r="AO30" i="10"/>
  <c r="AO88" i="10"/>
  <c r="AO97" i="10" s="1"/>
  <c r="AM97" i="10"/>
  <c r="AO34" i="10"/>
  <c r="AQ34" i="10" s="1"/>
  <c r="AO33" i="10"/>
  <c r="AQ33" i="10" s="1"/>
  <c r="AO32" i="10"/>
  <c r="AQ32" i="10" s="1"/>
  <c r="AO31" i="10"/>
  <c r="AQ31" i="10" s="1"/>
  <c r="AO18" i="10"/>
  <c r="AP18" i="10" s="1"/>
  <c r="AO26" i="10"/>
  <c r="AO23" i="10"/>
  <c r="AQ23" i="10" s="1"/>
  <c r="AO35" i="10"/>
  <c r="AP9" i="10"/>
  <c r="AM36" i="10"/>
  <c r="AP6" i="10"/>
  <c r="AP20" i="10"/>
  <c r="H24" i="10"/>
  <c r="AM24" i="10"/>
  <c r="H36" i="10"/>
  <c r="K68" i="14"/>
  <c r="AF33" i="14"/>
  <c r="AG34" i="14"/>
  <c r="H34" i="14"/>
  <c r="AE34" i="14" s="1"/>
  <c r="AP19" i="10"/>
  <c r="H20" i="14"/>
  <c r="AA20" i="14"/>
  <c r="AC13" i="14"/>
  <c r="AC6" i="14"/>
  <c r="AA12" i="14"/>
  <c r="K12" i="14"/>
  <c r="AC25" i="14"/>
  <c r="AA34" i="14"/>
  <c r="O68" i="14"/>
  <c r="Q68" i="14" s="1"/>
  <c r="O56" i="14"/>
  <c r="Q56" i="14" s="1"/>
  <c r="K54" i="10"/>
  <c r="K66" i="10"/>
  <c r="R100" i="10" l="1"/>
  <c r="AP30" i="10"/>
  <c r="AP31" i="10"/>
  <c r="O40" i="14"/>
  <c r="Q40" i="14" s="1"/>
  <c r="O41" i="10"/>
  <c r="AP22" i="10"/>
  <c r="AP35" i="10"/>
  <c r="AP88" i="10"/>
  <c r="AP34" i="10"/>
  <c r="AP32" i="10"/>
  <c r="AP33" i="10"/>
  <c r="AP23" i="10"/>
  <c r="AP26" i="10"/>
  <c r="AC12" i="14"/>
  <c r="AD6" i="14"/>
  <c r="AC34" i="14"/>
  <c r="AD34" i="14" s="1"/>
  <c r="AD25" i="14"/>
  <c r="AC20" i="14"/>
  <c r="AD20" i="14" s="1"/>
  <c r="AD13" i="14"/>
  <c r="N92" i="10"/>
  <c r="N66" i="10"/>
  <c r="R68" i="14"/>
  <c r="Q66" i="10"/>
  <c r="N54" i="10"/>
  <c r="Q41" i="10" l="1"/>
  <c r="AM41" i="10"/>
  <c r="AO41" i="10" s="1"/>
  <c r="N97" i="10"/>
  <c r="Q92" i="10"/>
  <c r="R40" i="14"/>
  <c r="T68" i="14"/>
  <c r="AA68" i="14"/>
  <c r="AC68" i="14" s="1"/>
  <c r="AD68" i="14" s="1"/>
  <c r="R56" i="14"/>
  <c r="AD12" i="14"/>
  <c r="Q54" i="10"/>
  <c r="T157" i="9"/>
  <c r="Q97" i="10" l="1"/>
  <c r="AP41" i="10"/>
  <c r="W92" i="10"/>
  <c r="W97" i="10" s="1"/>
  <c r="W54" i="10"/>
  <c r="T56" i="14"/>
  <c r="AA56" i="14"/>
  <c r="AC56" i="14" s="1"/>
  <c r="T40" i="14"/>
  <c r="AA40" i="14"/>
  <c r="T92" i="10"/>
  <c r="T97" i="10" s="1"/>
  <c r="AC66" i="10" l="1"/>
  <c r="Z66" i="10"/>
  <c r="Z54" i="10"/>
  <c r="AC92" i="10"/>
  <c r="AC97" i="10" s="1"/>
  <c r="Z92" i="10"/>
  <c r="Z97" i="10" s="1"/>
  <c r="W66" i="10"/>
  <c r="AC40" i="14"/>
  <c r="AC54" i="10" l="1"/>
  <c r="AI97" i="10" l="1"/>
  <c r="AQ97" i="10" s="1"/>
  <c r="AI54" i="10" l="1"/>
  <c r="AQ54" i="10" s="1"/>
  <c r="Q105" i="9"/>
  <c r="AF97" i="10"/>
  <c r="AL92" i="10"/>
  <c r="AL97" i="10" s="1"/>
  <c r="O115" i="9" l="1"/>
  <c r="P115" i="9" s="1"/>
  <c r="AL54" i="10"/>
  <c r="AL66" i="10"/>
  <c r="O87" i="9"/>
  <c r="P87" i="9" s="1"/>
  <c r="Q87" i="9" l="1"/>
  <c r="Q115" i="9"/>
  <c r="U50" i="8"/>
  <c r="D99" i="8" l="1"/>
  <c r="Q19" i="8"/>
  <c r="T50" i="8"/>
  <c r="Q41" i="8"/>
  <c r="F20" i="8"/>
  <c r="G20" i="8"/>
  <c r="H20" i="8"/>
  <c r="H24" i="8" s="1"/>
  <c r="I20" i="8"/>
  <c r="J20" i="8"/>
  <c r="K20" i="8"/>
  <c r="L20" i="8"/>
  <c r="M20" i="8"/>
  <c r="N20" i="8"/>
  <c r="O20" i="8"/>
  <c r="F23" i="8"/>
  <c r="F24" i="8" s="1"/>
  <c r="G23" i="8"/>
  <c r="G24" i="8" s="1"/>
  <c r="H23" i="8"/>
  <c r="I23" i="8"/>
  <c r="J23" i="8"/>
  <c r="K23" i="8"/>
  <c r="L23" i="8"/>
  <c r="M23" i="8"/>
  <c r="N23" i="8"/>
  <c r="O23" i="8"/>
  <c r="F34" i="8"/>
  <c r="G34" i="8"/>
  <c r="H34" i="8"/>
  <c r="I34" i="8"/>
  <c r="J34" i="8"/>
  <c r="K34" i="8"/>
  <c r="L34" i="8"/>
  <c r="M34" i="8"/>
  <c r="N34" i="8"/>
  <c r="O34" i="8"/>
  <c r="F87" i="8"/>
  <c r="G87" i="8"/>
  <c r="H87" i="8"/>
  <c r="I87" i="8"/>
  <c r="J87" i="8"/>
  <c r="K87" i="8"/>
  <c r="L87" i="8"/>
  <c r="M87" i="8"/>
  <c r="N87" i="8"/>
  <c r="O87" i="8"/>
  <c r="Q86" i="8"/>
  <c r="Q85" i="8"/>
  <c r="Q84" i="8"/>
  <c r="P84" i="8"/>
  <c r="Q83" i="8"/>
  <c r="Q82" i="8"/>
  <c r="P82" i="8"/>
  <c r="Q81" i="8"/>
  <c r="P81" i="8"/>
  <c r="Q80" i="8"/>
  <c r="P80" i="8"/>
  <c r="Q79" i="8"/>
  <c r="Q77" i="8"/>
  <c r="Q75" i="8"/>
  <c r="Q74" i="8"/>
  <c r="Q73" i="8"/>
  <c r="Q71" i="8"/>
  <c r="P71" i="8"/>
  <c r="Q70" i="8"/>
  <c r="P70" i="8"/>
  <c r="Q69" i="8"/>
  <c r="P69" i="8"/>
  <c r="Q66" i="8"/>
  <c r="Q65" i="8"/>
  <c r="P65" i="8"/>
  <c r="Q63" i="8"/>
  <c r="P63" i="8"/>
  <c r="Q62" i="8"/>
  <c r="P62" i="8"/>
  <c r="Q61" i="8"/>
  <c r="Q60" i="8"/>
  <c r="P60" i="8"/>
  <c r="Q59" i="8"/>
  <c r="P59" i="8"/>
  <c r="Q58" i="8"/>
  <c r="Q57" i="8"/>
  <c r="P57" i="8"/>
  <c r="Q56" i="8"/>
  <c r="P56" i="8"/>
  <c r="Q55" i="8"/>
  <c r="Q54" i="8"/>
  <c r="Q53" i="8"/>
  <c r="Q52" i="8"/>
  <c r="Q51" i="8"/>
  <c r="P51" i="8"/>
  <c r="Q50" i="8"/>
  <c r="Q49" i="8"/>
  <c r="P49" i="8"/>
  <c r="Q47" i="8"/>
  <c r="Q46" i="8"/>
  <c r="Q45" i="8"/>
  <c r="P45" i="8"/>
  <c r="Q44" i="8"/>
  <c r="Q42" i="8"/>
  <c r="P42" i="8"/>
  <c r="Q40" i="8"/>
  <c r="P40" i="8"/>
  <c r="Q39" i="8"/>
  <c r="P39" i="8"/>
  <c r="Q37" i="8"/>
  <c r="P37" i="8"/>
  <c r="Q36" i="8"/>
  <c r="Q33" i="8"/>
  <c r="P33" i="8"/>
  <c r="Q32" i="8"/>
  <c r="P32" i="8"/>
  <c r="Q31" i="8"/>
  <c r="Q26" i="8"/>
  <c r="Q18" i="8"/>
  <c r="Q17" i="8"/>
  <c r="P17" i="8"/>
  <c r="Q14" i="8"/>
  <c r="Q7" i="8"/>
  <c r="Q8" i="8"/>
  <c r="Q10" i="8"/>
  <c r="Q11" i="8"/>
  <c r="Q6" i="8"/>
  <c r="P7" i="8"/>
  <c r="P8" i="8"/>
  <c r="P6" i="8"/>
  <c r="F12" i="8"/>
  <c r="G12" i="8"/>
  <c r="H12" i="8"/>
  <c r="I12" i="8"/>
  <c r="J12" i="8"/>
  <c r="K12" i="8"/>
  <c r="L12" i="8"/>
  <c r="M12" i="8"/>
  <c r="N12" i="8"/>
  <c r="O12" i="8"/>
  <c r="E84" i="8"/>
  <c r="R84" i="8" s="1"/>
  <c r="S84" i="8" s="1"/>
  <c r="E82" i="8"/>
  <c r="R82" i="8" s="1"/>
  <c r="S82" i="8" s="1"/>
  <c r="E81" i="8"/>
  <c r="R81" i="8" s="1"/>
  <c r="E80" i="8"/>
  <c r="R80" i="8" s="1"/>
  <c r="E71" i="8"/>
  <c r="R71" i="8" s="1"/>
  <c r="E70" i="8"/>
  <c r="R70" i="8" s="1"/>
  <c r="E69" i="8"/>
  <c r="R69" i="8" s="1"/>
  <c r="E65" i="8"/>
  <c r="R65" i="8" s="1"/>
  <c r="E63" i="8"/>
  <c r="R63" i="8" s="1"/>
  <c r="S63" i="8" s="1"/>
  <c r="E62" i="8"/>
  <c r="R62" i="8" s="1"/>
  <c r="S62" i="8" s="1"/>
  <c r="E60" i="8"/>
  <c r="R60" i="8" s="1"/>
  <c r="S60" i="8" s="1"/>
  <c r="E59" i="8"/>
  <c r="R59" i="8" s="1"/>
  <c r="S59" i="8" s="1"/>
  <c r="E57" i="8"/>
  <c r="R57" i="8" s="1"/>
  <c r="E56" i="8"/>
  <c r="R56" i="8" s="1"/>
  <c r="E51" i="8"/>
  <c r="R51" i="8" s="1"/>
  <c r="E49" i="8"/>
  <c r="R49" i="8" s="1"/>
  <c r="E45" i="8"/>
  <c r="R45" i="8" s="1"/>
  <c r="E42" i="8"/>
  <c r="R42" i="8" s="1"/>
  <c r="E40" i="8"/>
  <c r="R40" i="8" s="1"/>
  <c r="E39" i="8"/>
  <c r="R39" i="8" s="1"/>
  <c r="E37" i="8"/>
  <c r="R37" i="8" s="1"/>
  <c r="Q35" i="8"/>
  <c r="Q28" i="8"/>
  <c r="E33" i="8"/>
  <c r="R33" i="8" s="1"/>
  <c r="E32" i="8"/>
  <c r="R32" i="8" s="1"/>
  <c r="E17" i="8"/>
  <c r="R17" i="8" s="1"/>
  <c r="Q67" i="8"/>
  <c r="Q78" i="8"/>
  <c r="Q43" i="8"/>
  <c r="Q48" i="8"/>
  <c r="Q72" i="8"/>
  <c r="Q76" i="8"/>
  <c r="Q64" i="8"/>
  <c r="Q38" i="8"/>
  <c r="Q68" i="8"/>
  <c r="Q27" i="8"/>
  <c r="Q29" i="8"/>
  <c r="Q30" i="8"/>
  <c r="Q22" i="8"/>
  <c r="Q16" i="8"/>
  <c r="Q15" i="8"/>
  <c r="Q25" i="8"/>
  <c r="Q13" i="8"/>
  <c r="E8" i="8"/>
  <c r="R8" i="8" s="1"/>
  <c r="E7" i="8"/>
  <c r="R7" i="8" s="1"/>
  <c r="E6" i="8"/>
  <c r="R6" i="8" s="1"/>
  <c r="E10" i="8"/>
  <c r="R10" i="8" s="1"/>
  <c r="D12" i="8"/>
  <c r="AP97" i="10" l="1"/>
  <c r="K24" i="8"/>
  <c r="I24" i="8"/>
  <c r="J24" i="8"/>
  <c r="I88" i="8"/>
  <c r="I89" i="8" s="1"/>
  <c r="S51" i="8"/>
  <c r="Q20" i="8"/>
  <c r="Q87" i="8"/>
  <c r="D23" i="8"/>
  <c r="Q21" i="8"/>
  <c r="Q23" i="8" s="1"/>
  <c r="Q34" i="8"/>
  <c r="D96" i="8"/>
  <c r="D98" i="8" s="1"/>
  <c r="H88" i="8"/>
  <c r="H89" i="8" s="1"/>
  <c r="G88" i="8"/>
  <c r="G89" i="8" s="1"/>
  <c r="F88" i="8"/>
  <c r="F89" i="8" s="1"/>
  <c r="L24" i="8"/>
  <c r="L88" i="8" s="1"/>
  <c r="L89" i="8" s="1"/>
  <c r="Q9" i="8"/>
  <c r="Q12" i="8" s="1"/>
  <c r="P10" i="8"/>
  <c r="S10" i="8" s="1"/>
  <c r="J88" i="8"/>
  <c r="J89" i="8" s="1"/>
  <c r="O24" i="8"/>
  <c r="O88" i="8" s="1"/>
  <c r="O89" i="8" s="1"/>
  <c r="N24" i="8"/>
  <c r="M24" i="8"/>
  <c r="N88" i="8"/>
  <c r="N89" i="8" s="1"/>
  <c r="M88" i="8"/>
  <c r="M89" i="8" s="1"/>
  <c r="K88" i="8"/>
  <c r="K89" i="8" s="1"/>
  <c r="D87" i="8"/>
  <c r="D34" i="8"/>
  <c r="D20" i="8"/>
  <c r="Q24" i="8" l="1"/>
  <c r="Q88" i="8"/>
  <c r="Q89" i="8" s="1"/>
  <c r="D24" i="8"/>
  <c r="D88" i="8" s="1"/>
  <c r="D89" i="8" l="1"/>
  <c r="D100" i="8"/>
  <c r="P9" i="8" l="1"/>
  <c r="E53" i="8" l="1"/>
  <c r="R53" i="8" s="1"/>
  <c r="P53" i="8"/>
  <c r="E48" i="8"/>
  <c r="R48" i="8" s="1"/>
  <c r="P48" i="8"/>
  <c r="E72" i="8"/>
  <c r="R72" i="8" s="1"/>
  <c r="P72" i="8"/>
  <c r="E74" i="8"/>
  <c r="R74" i="8" s="1"/>
  <c r="P74" i="8"/>
  <c r="E15" i="8"/>
  <c r="R15" i="8" s="1"/>
  <c r="P15" i="8"/>
  <c r="E35" i="8"/>
  <c r="R35" i="8" s="1"/>
  <c r="P35" i="8"/>
  <c r="E64" i="8"/>
  <c r="R64" i="8" s="1"/>
  <c r="P64" i="8"/>
  <c r="E46" i="8"/>
  <c r="R46" i="8" s="1"/>
  <c r="P46" i="8"/>
  <c r="E58" i="8"/>
  <c r="R58" i="8" s="1"/>
  <c r="P58" i="8"/>
  <c r="E13" i="8"/>
  <c r="R13" i="8" s="1"/>
  <c r="P13" i="8"/>
  <c r="E55" i="8"/>
  <c r="R55" i="8" s="1"/>
  <c r="P55" i="8"/>
  <c r="E47" i="8"/>
  <c r="R47" i="8" s="1"/>
  <c r="P47" i="8"/>
  <c r="E44" i="8"/>
  <c r="R44" i="8" s="1"/>
  <c r="S44" i="8" s="1"/>
  <c r="P44" i="8"/>
  <c r="P12" i="8"/>
  <c r="E38" i="8"/>
  <c r="R38" i="8" s="1"/>
  <c r="P38" i="8"/>
  <c r="E83" i="8"/>
  <c r="R83" i="8" s="1"/>
  <c r="P83" i="8"/>
  <c r="E77" i="8"/>
  <c r="R77" i="8" s="1"/>
  <c r="P77" i="8"/>
  <c r="E36" i="8"/>
  <c r="R36" i="8" s="1"/>
  <c r="P36" i="8"/>
  <c r="E11" i="8"/>
  <c r="R11" i="8" s="1"/>
  <c r="S11" i="8" s="1"/>
  <c r="P11" i="8"/>
  <c r="E41" i="8"/>
  <c r="R41" i="8" s="1"/>
  <c r="P41" i="8"/>
  <c r="E61" i="8"/>
  <c r="R61" i="8" s="1"/>
  <c r="P61" i="8"/>
  <c r="E18" i="8"/>
  <c r="R18" i="8" s="1"/>
  <c r="P18" i="8"/>
  <c r="E14" i="8"/>
  <c r="R14" i="8" s="1"/>
  <c r="P14" i="8"/>
  <c r="E67" i="8"/>
  <c r="R67" i="8" s="1"/>
  <c r="P67" i="8"/>
  <c r="E73" i="8"/>
  <c r="R73" i="8" s="1"/>
  <c r="S73" i="8" s="1"/>
  <c r="P73" i="8"/>
  <c r="E43" i="8"/>
  <c r="R43" i="8" s="1"/>
  <c r="P43" i="8"/>
  <c r="E21" i="8"/>
  <c r="R21" i="8" s="1"/>
  <c r="P21" i="8"/>
  <c r="P23" i="8" s="1"/>
  <c r="E52" i="8"/>
  <c r="R52" i="8" s="1"/>
  <c r="P52" i="8"/>
  <c r="E76" i="8"/>
  <c r="R76" i="8" s="1"/>
  <c r="P76" i="8"/>
  <c r="E19" i="8"/>
  <c r="R19" i="8" s="1"/>
  <c r="P19" i="8"/>
  <c r="E22" i="8"/>
  <c r="R22" i="8" s="1"/>
  <c r="S22" i="8" s="1"/>
  <c r="P22" i="8"/>
  <c r="E50" i="8"/>
  <c r="R50" i="8" s="1"/>
  <c r="P50" i="8"/>
  <c r="E68" i="8"/>
  <c r="R68" i="8" s="1"/>
  <c r="P68" i="8"/>
  <c r="E28" i="8"/>
  <c r="R28" i="8" s="1"/>
  <c r="P28" i="8"/>
  <c r="E16" i="8"/>
  <c r="R16" i="8" s="1"/>
  <c r="P16" i="8"/>
  <c r="E66" i="8"/>
  <c r="R66" i="8" s="1"/>
  <c r="S66" i="8" s="1"/>
  <c r="P66" i="8"/>
  <c r="E26" i="8"/>
  <c r="R26" i="8" s="1"/>
  <c r="S26" i="8" s="1"/>
  <c r="P26" i="8"/>
  <c r="E78" i="8"/>
  <c r="R78" i="8" s="1"/>
  <c r="P78" i="8"/>
  <c r="E30" i="8"/>
  <c r="R30" i="8" s="1"/>
  <c r="P30" i="8"/>
  <c r="E54" i="8"/>
  <c r="R54" i="8" s="1"/>
  <c r="P54" i="8"/>
  <c r="E27" i="8"/>
  <c r="R27" i="8" s="1"/>
  <c r="P27" i="8"/>
  <c r="E75" i="8"/>
  <c r="R75" i="8" s="1"/>
  <c r="P75" i="8"/>
  <c r="E31" i="8"/>
  <c r="R31" i="8" s="1"/>
  <c r="S31" i="8" s="1"/>
  <c r="P31" i="8"/>
  <c r="E79" i="8"/>
  <c r="R79" i="8" s="1"/>
  <c r="P79" i="8"/>
  <c r="E85" i="8"/>
  <c r="R85" i="8" s="1"/>
  <c r="P85" i="8"/>
  <c r="E29" i="8"/>
  <c r="R29" i="8" s="1"/>
  <c r="P29" i="8"/>
  <c r="E86" i="8"/>
  <c r="R86" i="8" s="1"/>
  <c r="P86" i="8"/>
  <c r="E25" i="8"/>
  <c r="R25" i="8" s="1"/>
  <c r="P25" i="8"/>
  <c r="P34" i="8" s="1"/>
  <c r="E9" i="8"/>
  <c r="S86" i="8" l="1"/>
  <c r="S13" i="8"/>
  <c r="S25" i="8"/>
  <c r="S58" i="8"/>
  <c r="S36" i="8"/>
  <c r="S67" i="8"/>
  <c r="S64" i="8"/>
  <c r="S47" i="8"/>
  <c r="S35" i="8"/>
  <c r="S55" i="8"/>
  <c r="S15" i="8"/>
  <c r="S14" i="8"/>
  <c r="S77" i="8"/>
  <c r="S19" i="8"/>
  <c r="S74" i="8"/>
  <c r="S52" i="8"/>
  <c r="S18" i="8"/>
  <c r="S83" i="8"/>
  <c r="S72" i="8"/>
  <c r="S16" i="8"/>
  <c r="S29" i="8"/>
  <c r="S21" i="8"/>
  <c r="S61" i="8"/>
  <c r="S38" i="8"/>
  <c r="S85" i="8"/>
  <c r="S46" i="8"/>
  <c r="S48" i="8"/>
  <c r="S27" i="8"/>
  <c r="S54" i="8"/>
  <c r="S30" i="8"/>
  <c r="S78" i="8"/>
  <c r="S50" i="8"/>
  <c r="S43" i="8"/>
  <c r="S41" i="8"/>
  <c r="S75" i="8"/>
  <c r="S76" i="8"/>
  <c r="S28" i="8"/>
  <c r="S68" i="8"/>
  <c r="S79" i="8"/>
  <c r="S53" i="8"/>
  <c r="E87" i="8"/>
  <c r="R34" i="8"/>
  <c r="S34" i="8" s="1"/>
  <c r="P87" i="8"/>
  <c r="R87" i="8"/>
  <c r="P20" i="8"/>
  <c r="P24" i="8" s="1"/>
  <c r="R20" i="8"/>
  <c r="E34" i="8"/>
  <c r="R23" i="8"/>
  <c r="E23" i="8"/>
  <c r="E12" i="8"/>
  <c r="R9" i="8"/>
  <c r="S9" i="8" s="1"/>
  <c r="E20" i="8"/>
  <c r="S87" i="8" l="1"/>
  <c r="S20" i="8"/>
  <c r="R12" i="8"/>
  <c r="S12" i="8" s="1"/>
  <c r="R24" i="8"/>
  <c r="S24" i="8" s="1"/>
  <c r="S23" i="8"/>
  <c r="E24" i="8"/>
  <c r="E88" i="8" s="1"/>
  <c r="E89" i="8" s="1"/>
  <c r="R88" i="8"/>
  <c r="P88" i="8"/>
  <c r="P89" i="8" s="1"/>
  <c r="R89" i="8" l="1"/>
  <c r="S89" i="8" s="1"/>
  <c r="S88" i="8"/>
  <c r="Z94" i="8" l="1"/>
  <c r="X97" i="8" l="1"/>
  <c r="C23" i="8"/>
  <c r="X92" i="8"/>
  <c r="X95" i="8"/>
  <c r="C34" i="8"/>
  <c r="C87" i="8"/>
  <c r="C12" i="8"/>
  <c r="X91" i="8"/>
  <c r="C20" i="8" l="1"/>
  <c r="X98" i="8"/>
  <c r="B12" i="8"/>
  <c r="B23" i="8"/>
  <c r="B34" i="8"/>
  <c r="X99" i="8" l="1"/>
  <c r="X100" i="8" s="1"/>
  <c r="C24" i="8"/>
  <c r="B20" i="8"/>
  <c r="B24" i="8" s="1"/>
  <c r="B88" i="8" s="1"/>
  <c r="B89" i="8" s="1"/>
  <c r="C88" i="8" l="1"/>
  <c r="C89" i="8" l="1"/>
  <c r="X101" i="8" l="1"/>
  <c r="J24" i="10" l="1"/>
  <c r="J28" i="10" s="1"/>
  <c r="K17" i="10"/>
  <c r="K24" i="10" s="1"/>
  <c r="J36" i="10"/>
  <c r="K29" i="10"/>
  <c r="K36" i="10" s="1"/>
  <c r="J99" i="10" l="1"/>
  <c r="Q36" i="10"/>
  <c r="P27" i="10"/>
  <c r="P28" i="10" s="1"/>
  <c r="J100" i="10" l="1"/>
  <c r="P99" i="10"/>
  <c r="P100" i="10" l="1"/>
  <c r="AI17" i="10"/>
  <c r="AI24" i="10" s="1"/>
  <c r="AR24" i="10" s="1"/>
  <c r="AH24" i="10"/>
  <c r="AH28" i="10" s="1"/>
  <c r="AH99" i="10" s="1"/>
  <c r="AH100" i="10" l="1"/>
  <c r="AN103" i="10"/>
  <c r="AK24" i="10"/>
  <c r="AL17" i="10"/>
  <c r="AL24" i="10" s="1"/>
  <c r="AK36" i="10" l="1"/>
  <c r="AL29" i="10"/>
  <c r="AL36" i="10" s="1"/>
  <c r="AN29" i="10"/>
  <c r="AO29" i="10" s="1"/>
  <c r="AQ29" i="10" s="1"/>
  <c r="AK27" i="10"/>
  <c r="AK28" i="10" s="1"/>
  <c r="AK99" i="10" s="1"/>
  <c r="AK100" i="10" s="1"/>
  <c r="AN25" i="10"/>
  <c r="AN36" i="10" l="1"/>
  <c r="AN27" i="10"/>
  <c r="AO36" i="10" l="1"/>
  <c r="AQ36" i="10" s="1"/>
  <c r="AP29" i="10"/>
  <c r="AP36" i="10" l="1"/>
  <c r="P14" i="9"/>
  <c r="B27" i="10"/>
  <c r="B28" i="10" s="1"/>
  <c r="B50" i="10" l="1"/>
  <c r="C46" i="9"/>
  <c r="B48" i="9"/>
  <c r="C27" i="10" l="1"/>
  <c r="C28" i="10" s="1"/>
  <c r="E25" i="10"/>
  <c r="E27" i="10" s="1"/>
  <c r="E28" i="10" s="1"/>
  <c r="C50" i="10"/>
  <c r="E37" i="10"/>
  <c r="E50" i="10" s="1"/>
  <c r="I37" i="10"/>
  <c r="F36" i="14"/>
  <c r="D46" i="9"/>
  <c r="C48" i="9"/>
  <c r="C49" i="9" s="1"/>
  <c r="P50" i="9"/>
  <c r="B49" i="9"/>
  <c r="K37" i="10" l="1"/>
  <c r="I50" i="10"/>
  <c r="H36" i="14"/>
  <c r="L37" i="10"/>
  <c r="I36" i="14"/>
  <c r="K36" i="14" s="1"/>
  <c r="E46" i="9"/>
  <c r="I25" i="10" s="1"/>
  <c r="D48" i="9"/>
  <c r="D49" i="9" s="1"/>
  <c r="F21" i="14"/>
  <c r="K50" i="10" l="1"/>
  <c r="N37" i="10"/>
  <c r="N50" i="10" s="1"/>
  <c r="L50" i="10"/>
  <c r="O37" i="10"/>
  <c r="AM37" i="10" s="1"/>
  <c r="AM50" i="10" s="1"/>
  <c r="L36" i="14"/>
  <c r="N36" i="14" s="1"/>
  <c r="H21" i="14"/>
  <c r="H23" i="14" s="1"/>
  <c r="H24" i="14" s="1"/>
  <c r="F23" i="14"/>
  <c r="F24" i="14" s="1"/>
  <c r="H25" i="10"/>
  <c r="H27" i="10" s="1"/>
  <c r="H28" i="10" s="1"/>
  <c r="F46" i="9"/>
  <c r="L25" i="10" s="1"/>
  <c r="I21" i="14"/>
  <c r="E48" i="9"/>
  <c r="E49" i="9" s="1"/>
  <c r="Q37" i="10" l="1"/>
  <c r="Q50" i="10" s="1"/>
  <c r="O50" i="10"/>
  <c r="F100" i="10"/>
  <c r="O36" i="14"/>
  <c r="Q36" i="14" s="1"/>
  <c r="K25" i="10"/>
  <c r="K27" i="10" s="1"/>
  <c r="I27" i="10"/>
  <c r="I28" i="10" s="1"/>
  <c r="K21" i="14"/>
  <c r="K23" i="14" s="1"/>
  <c r="K24" i="14" s="1"/>
  <c r="I23" i="14"/>
  <c r="I24" i="14" s="1"/>
  <c r="G46" i="9"/>
  <c r="O25" i="10" s="1"/>
  <c r="F48" i="9"/>
  <c r="F49" i="9" s="1"/>
  <c r="L21" i="14"/>
  <c r="AE24" i="14"/>
  <c r="Q25" i="10" l="1"/>
  <c r="O27" i="10"/>
  <c r="K28" i="10"/>
  <c r="I83" i="9"/>
  <c r="R36" i="14"/>
  <c r="L27" i="10"/>
  <c r="L28" i="10" s="1"/>
  <c r="N25" i="10"/>
  <c r="O21" i="14"/>
  <c r="G48" i="9"/>
  <c r="L23" i="14"/>
  <c r="L24" i="14" s="1"/>
  <c r="N21" i="14"/>
  <c r="N23" i="14" s="1"/>
  <c r="N24" i="14" s="1"/>
  <c r="G49" i="9" l="1"/>
  <c r="Q27" i="10"/>
  <c r="N27" i="10"/>
  <c r="T36" i="14"/>
  <c r="AA36" i="14"/>
  <c r="AC36" i="14" s="1"/>
  <c r="AD36" i="14" s="1"/>
  <c r="Q21" i="14"/>
  <c r="Q23" i="14" s="1"/>
  <c r="Q24" i="14" s="1"/>
  <c r="O23" i="14"/>
  <c r="O24" i="14" s="1"/>
  <c r="I46" i="9"/>
  <c r="T25" i="10"/>
  <c r="T27" i="10" s="1"/>
  <c r="R21" i="14"/>
  <c r="T21" i="14" s="1"/>
  <c r="T23" i="14" s="1"/>
  <c r="T24" i="14" s="1"/>
  <c r="H48" i="9"/>
  <c r="Q28" i="10" l="1"/>
  <c r="O28" i="10"/>
  <c r="N28" i="10"/>
  <c r="C143" i="9"/>
  <c r="C144" i="9" s="1"/>
  <c r="C146" i="9" s="1"/>
  <c r="J46" i="9"/>
  <c r="W25" i="10"/>
  <c r="W27" i="10" s="1"/>
  <c r="I48" i="9"/>
  <c r="I49" i="9" s="1"/>
  <c r="H49" i="9"/>
  <c r="R23" i="14"/>
  <c r="AA21" i="14"/>
  <c r="AF24" i="14"/>
  <c r="B143" i="9"/>
  <c r="C149" i="9" l="1"/>
  <c r="W28" i="10"/>
  <c r="C87" i="10"/>
  <c r="C98" i="10" s="1"/>
  <c r="C99" i="10" s="1"/>
  <c r="C101" i="10" s="1"/>
  <c r="F101" i="10" s="1"/>
  <c r="E52" i="10"/>
  <c r="E87" i="10" s="1"/>
  <c r="E98" i="10" s="1"/>
  <c r="E99" i="10" s="1"/>
  <c r="B87" i="10"/>
  <c r="B98" i="10" s="1"/>
  <c r="B99" i="10" s="1"/>
  <c r="C145" i="9"/>
  <c r="L83" i="9"/>
  <c r="I52" i="10"/>
  <c r="I87" i="10" s="1"/>
  <c r="I98" i="10" s="1"/>
  <c r="I99" i="10" s="1"/>
  <c r="F35" i="14"/>
  <c r="D143" i="9"/>
  <c r="AA23" i="14"/>
  <c r="AA24" i="14" s="1"/>
  <c r="AC21" i="14"/>
  <c r="R24" i="14"/>
  <c r="K46" i="9"/>
  <c r="J48" i="9"/>
  <c r="J49" i="9" s="1"/>
  <c r="P149" i="9"/>
  <c r="I101" i="10" l="1"/>
  <c r="E100" i="10"/>
  <c r="I100" i="10"/>
  <c r="C100" i="10"/>
  <c r="D144" i="9"/>
  <c r="B100" i="10"/>
  <c r="H35" i="14"/>
  <c r="H87" i="14" s="1"/>
  <c r="F87" i="14"/>
  <c r="F88" i="14" s="1"/>
  <c r="F89" i="14" s="1"/>
  <c r="M83" i="9"/>
  <c r="L52" i="10"/>
  <c r="L87" i="10" s="1"/>
  <c r="L98" i="10" s="1"/>
  <c r="L99" i="10" s="1"/>
  <c r="I35" i="14"/>
  <c r="E143" i="9"/>
  <c r="E144" i="9" s="1"/>
  <c r="L46" i="9"/>
  <c r="K48" i="9"/>
  <c r="AC23" i="14"/>
  <c r="AD21" i="14"/>
  <c r="L101" i="10" l="1"/>
  <c r="D145" i="9"/>
  <c r="D146" i="9"/>
  <c r="L100" i="10"/>
  <c r="AE87" i="14"/>
  <c r="H88" i="14"/>
  <c r="K52" i="10"/>
  <c r="N83" i="9"/>
  <c r="E145" i="9"/>
  <c r="K35" i="14"/>
  <c r="K87" i="14" s="1"/>
  <c r="K88" i="14" s="1"/>
  <c r="K89" i="14" s="1"/>
  <c r="I87" i="14"/>
  <c r="I88" i="14" s="1"/>
  <c r="G143" i="9"/>
  <c r="L35" i="14"/>
  <c r="U28" i="10"/>
  <c r="K49" i="9"/>
  <c r="AC24" i="14"/>
  <c r="AD23" i="14"/>
  <c r="AC25" i="10"/>
  <c r="AC27" i="10" s="1"/>
  <c r="AA27" i="10"/>
  <c r="AA28" i="10" s="1"/>
  <c r="M46" i="9"/>
  <c r="L48" i="9"/>
  <c r="L49" i="9" s="1"/>
  <c r="D149" i="9" l="1"/>
  <c r="E146" i="9"/>
  <c r="E149" i="9" s="1"/>
  <c r="AC28" i="10"/>
  <c r="U99" i="10"/>
  <c r="G144" i="9"/>
  <c r="K87" i="10"/>
  <c r="N52" i="10"/>
  <c r="N87" i="10" s="1"/>
  <c r="N98" i="10" s="1"/>
  <c r="O52" i="10"/>
  <c r="O35" i="14"/>
  <c r="AE88" i="14"/>
  <c r="H89" i="14"/>
  <c r="AE89" i="14" s="1"/>
  <c r="O83" i="9"/>
  <c r="N35" i="14"/>
  <c r="I89" i="14"/>
  <c r="Z25" i="10"/>
  <c r="Z27" i="10" s="1"/>
  <c r="AD27" i="10"/>
  <c r="AD28" i="10" s="1"/>
  <c r="AF25" i="10"/>
  <c r="AD24" i="14"/>
  <c r="N46" i="9"/>
  <c r="M48" i="9"/>
  <c r="M49" i="9" s="1"/>
  <c r="AF27" i="10" l="1"/>
  <c r="U100" i="10"/>
  <c r="Z28" i="10"/>
  <c r="O87" i="10"/>
  <c r="O98" i="10" s="1"/>
  <c r="O99" i="10" s="1"/>
  <c r="AM52" i="10"/>
  <c r="Q83" i="9"/>
  <c r="K98" i="10"/>
  <c r="N99" i="10"/>
  <c r="Q35" i="14"/>
  <c r="Q87" i="14" s="1"/>
  <c r="O87" i="14"/>
  <c r="O88" i="14" s="1"/>
  <c r="I82" i="9"/>
  <c r="R35" i="14"/>
  <c r="H143" i="9"/>
  <c r="G145" i="9"/>
  <c r="Q52" i="10"/>
  <c r="Q87" i="10" s="1"/>
  <c r="Q98" i="10" s="1"/>
  <c r="AG27" i="10"/>
  <c r="AG28" i="10" s="1"/>
  <c r="AI25" i="10"/>
  <c r="AI27" i="10" s="1"/>
  <c r="AR27" i="10" s="1"/>
  <c r="N48" i="9"/>
  <c r="O46" i="9"/>
  <c r="Q46" i="9" s="1"/>
  <c r="O101" i="10" l="1"/>
  <c r="R101" i="10" s="1"/>
  <c r="U101" i="10" s="1"/>
  <c r="AF28" i="10"/>
  <c r="H144" i="9"/>
  <c r="O100" i="10"/>
  <c r="Q99" i="10"/>
  <c r="K99" i="10"/>
  <c r="N100" i="10"/>
  <c r="T35" i="14"/>
  <c r="T87" i="14" s="1"/>
  <c r="T88" i="14" s="1"/>
  <c r="T89" i="14" s="1"/>
  <c r="R87" i="14"/>
  <c r="R88" i="14" s="1"/>
  <c r="J82" i="9"/>
  <c r="I143" i="9"/>
  <c r="I144" i="9" s="1"/>
  <c r="U106" i="10" s="1"/>
  <c r="AA35" i="14"/>
  <c r="T52" i="10"/>
  <c r="P91" i="14"/>
  <c r="O89" i="14"/>
  <c r="AF88" i="14"/>
  <c r="Q88" i="14"/>
  <c r="Q89" i="14" s="1"/>
  <c r="X28" i="10"/>
  <c r="N49" i="9"/>
  <c r="O48" i="9"/>
  <c r="Q48" i="9" s="1"/>
  <c r="P46" i="9"/>
  <c r="AI28" i="10"/>
  <c r="AR28" i="10" s="1"/>
  <c r="AJ27" i="10"/>
  <c r="AJ28" i="10" s="1"/>
  <c r="AJ99" i="10" s="1"/>
  <c r="AJ100" i="10" s="1"/>
  <c r="AL25" i="10"/>
  <c r="AL27" i="10" s="1"/>
  <c r="AL28" i="10" s="1"/>
  <c r="AM25" i="10"/>
  <c r="H145" i="9" l="1"/>
  <c r="R90" i="14"/>
  <c r="T87" i="10"/>
  <c r="T98" i="10" s="1"/>
  <c r="Q100" i="10"/>
  <c r="K100" i="10"/>
  <c r="AC35" i="14"/>
  <c r="W52" i="10"/>
  <c r="W87" i="10" s="1"/>
  <c r="W98" i="10" s="1"/>
  <c r="I145" i="9"/>
  <c r="U105" i="10" s="1"/>
  <c r="R89" i="14"/>
  <c r="K82" i="9"/>
  <c r="O49" i="9"/>
  <c r="Q49" i="9" s="1"/>
  <c r="P48" i="9"/>
  <c r="AM27" i="10"/>
  <c r="AO25" i="10"/>
  <c r="AQ25" i="10" s="1"/>
  <c r="W99" i="10" l="1"/>
  <c r="Z52" i="10"/>
  <c r="AD35" i="14"/>
  <c r="L82" i="9"/>
  <c r="AM28" i="10"/>
  <c r="AO27" i="10"/>
  <c r="AQ27" i="10" s="1"/>
  <c r="AP25" i="10"/>
  <c r="P49" i="9"/>
  <c r="W100" i="10" l="1"/>
  <c r="AC52" i="10"/>
  <c r="M82" i="9"/>
  <c r="AP27" i="10"/>
  <c r="N82" i="9" l="1"/>
  <c r="AI52" i="10" l="1"/>
  <c r="O82" i="9"/>
  <c r="Q82" i="9" l="1"/>
  <c r="P82" i="9"/>
  <c r="AL52" i="10"/>
  <c r="AL87" i="10" s="1"/>
  <c r="AL98" i="10" s="1"/>
  <c r="AL99" i="10" s="1"/>
  <c r="AL100" i="10" s="1"/>
  <c r="B144" i="9" l="1"/>
  <c r="L161" i="9" s="1"/>
  <c r="P59" i="9"/>
  <c r="AM104" i="10" l="1"/>
  <c r="P148" i="9"/>
  <c r="B101" i="10"/>
  <c r="P150" i="9"/>
  <c r="O93" i="9"/>
  <c r="L46" i="14"/>
  <c r="L87" i="14" s="1"/>
  <c r="L88" i="14" s="1"/>
  <c r="F143" i="9"/>
  <c r="F144" i="9" s="1"/>
  <c r="F146" i="9" s="1"/>
  <c r="P93" i="9" l="1"/>
  <c r="F149" i="9"/>
  <c r="G146" i="9"/>
  <c r="Q93" i="9"/>
  <c r="F145" i="9"/>
  <c r="AB92" i="14"/>
  <c r="R92" i="14"/>
  <c r="L89" i="14"/>
  <c r="N46" i="14"/>
  <c r="N87" i="14" s="1"/>
  <c r="N88" i="14" s="1"/>
  <c r="N89" i="14" s="1"/>
  <c r="AB93" i="14" s="1"/>
  <c r="AA46" i="14"/>
  <c r="H146" i="9" l="1"/>
  <c r="AC46" i="14"/>
  <c r="AA87" i="14"/>
  <c r="AA88" i="14" s="1"/>
  <c r="AA89" i="14" s="1"/>
  <c r="I146" i="9" l="1"/>
  <c r="AC87" i="14"/>
  <c r="AD46" i="14"/>
  <c r="AD87" i="14" l="1"/>
  <c r="AC88" i="14"/>
  <c r="AC89" i="14" l="1"/>
  <c r="AD88" i="14"/>
  <c r="AD89" i="14" l="1"/>
  <c r="AI101" i="14"/>
  <c r="G87" i="10" l="1"/>
  <c r="G98" i="10" s="1"/>
  <c r="AN52" i="10"/>
  <c r="H52" i="10"/>
  <c r="H87" i="10" l="1"/>
  <c r="H98" i="10" s="1"/>
  <c r="H99" i="10" s="1"/>
  <c r="G99" i="10"/>
  <c r="AN87" i="10"/>
  <c r="AO52" i="10"/>
  <c r="AQ52" i="10" s="1"/>
  <c r="H100" i="10" l="1"/>
  <c r="G100" i="10"/>
  <c r="AP52" i="10"/>
  <c r="AN37" i="10" l="1"/>
  <c r="M50" i="10"/>
  <c r="M98" i="10" s="1"/>
  <c r="M99" i="10" s="1"/>
  <c r="M100" i="10" l="1"/>
  <c r="AN50" i="10"/>
  <c r="AN98" i="10" s="1"/>
  <c r="AO37" i="10"/>
  <c r="AQ37" i="10" s="1"/>
  <c r="AO50" i="10" l="1"/>
  <c r="AQ50" i="10" s="1"/>
  <c r="AP37" i="10"/>
  <c r="AP50" i="10" l="1"/>
  <c r="S17" i="10" l="1"/>
  <c r="S24" i="10" l="1"/>
  <c r="S28" i="10" s="1"/>
  <c r="S99" i="10" s="1"/>
  <c r="T17" i="10"/>
  <c r="T24" i="10" s="1"/>
  <c r="AN17" i="10"/>
  <c r="T28" i="10" l="1"/>
  <c r="AO17" i="10"/>
  <c r="AQ17" i="10" s="1"/>
  <c r="AN24" i="10"/>
  <c r="AN28" i="10" s="1"/>
  <c r="AN99" i="10" s="1"/>
  <c r="S100" i="10"/>
  <c r="T99" i="10" l="1"/>
  <c r="AN100" i="10"/>
  <c r="AP17" i="10"/>
  <c r="AO24" i="10"/>
  <c r="AQ24" i="10" s="1"/>
  <c r="AP24" i="10" l="1"/>
  <c r="AO28" i="10"/>
  <c r="AQ28" i="10" s="1"/>
  <c r="T100" i="10"/>
  <c r="AP28" i="10" l="1"/>
  <c r="K134" i="9"/>
  <c r="J95" i="9"/>
  <c r="X59" i="10" l="1"/>
  <c r="J143" i="9"/>
  <c r="J144" i="9" s="1"/>
  <c r="K95" i="9"/>
  <c r="AA79" i="10"/>
  <c r="L134" i="9"/>
  <c r="J146" i="9" l="1"/>
  <c r="J152" i="9"/>
  <c r="M134" i="9"/>
  <c r="AD79" i="10"/>
  <c r="AF79" i="10" s="1"/>
  <c r="AC79" i="10"/>
  <c r="J145" i="9"/>
  <c r="AA59" i="10"/>
  <c r="L95" i="9"/>
  <c r="AD59" i="10" s="1"/>
  <c r="X87" i="10"/>
  <c r="X98" i="10" s="1"/>
  <c r="X99" i="10" s="1"/>
  <c r="Z59" i="10"/>
  <c r="N134" i="9" l="1"/>
  <c r="O134" i="9" s="1"/>
  <c r="P134" i="9" s="1"/>
  <c r="AG79" i="10"/>
  <c r="X101" i="10"/>
  <c r="AF59" i="10"/>
  <c r="Z87" i="10"/>
  <c r="Z98" i="10" s="1"/>
  <c r="Z99" i="10" s="1"/>
  <c r="Z100" i="10" s="1"/>
  <c r="Q134" i="9"/>
  <c r="AC59" i="10"/>
  <c r="M95" i="9"/>
  <c r="AG59" i="10" s="1"/>
  <c r="X100" i="10"/>
  <c r="AM79" i="10" l="1"/>
  <c r="AO79" i="10" s="1"/>
  <c r="AI79" i="10"/>
  <c r="AI59" i="10"/>
  <c r="AM59" i="10"/>
  <c r="AO59" i="10" s="1"/>
  <c r="AQ59" i="10" s="1"/>
  <c r="N95" i="9"/>
  <c r="O95" i="9"/>
  <c r="AP59" i="10" l="1"/>
  <c r="AP79" i="10"/>
  <c r="AQ79" i="10"/>
  <c r="P95" i="9"/>
  <c r="Q95" i="9"/>
  <c r="K140" i="9" l="1"/>
  <c r="AA84" i="10" l="1"/>
  <c r="L140" i="9"/>
  <c r="AD84" i="10" s="1"/>
  <c r="K143" i="9"/>
  <c r="K144" i="9" s="1"/>
  <c r="K146" i="9" l="1"/>
  <c r="K152" i="9"/>
  <c r="AF84" i="10"/>
  <c r="AF87" i="10" s="1"/>
  <c r="AD87" i="10"/>
  <c r="AD98" i="10" s="1"/>
  <c r="AD99" i="10" s="1"/>
  <c r="AD100" i="10" s="1"/>
  <c r="K145" i="9"/>
  <c r="M140" i="9"/>
  <c r="AG84" i="10" s="1"/>
  <c r="L143" i="9"/>
  <c r="L144" i="9" s="1"/>
  <c r="L145" i="9" s="1"/>
  <c r="AC84" i="10"/>
  <c r="AM84" i="10"/>
  <c r="AA87" i="10"/>
  <c r="AA98" i="10" s="1"/>
  <c r="AA99" i="10" s="1"/>
  <c r="AG87" i="10" l="1"/>
  <c r="AG98" i="10" s="1"/>
  <c r="AI84" i="10"/>
  <c r="AI87" i="10" s="1"/>
  <c r="AI98" i="10" s="1"/>
  <c r="AI99" i="10" s="1"/>
  <c r="AR99" i="10" s="1"/>
  <c r="L152" i="9"/>
  <c r="AF98" i="10"/>
  <c r="AC87" i="10"/>
  <c r="AC98" i="10" s="1"/>
  <c r="AC99" i="10" s="1"/>
  <c r="L146" i="9"/>
  <c r="L149" i="9" s="1"/>
  <c r="AA101" i="10"/>
  <c r="AA100" i="10"/>
  <c r="AO84" i="10"/>
  <c r="AQ84" i="10" s="1"/>
  <c r="AM87" i="10"/>
  <c r="AM98" i="10" s="1"/>
  <c r="N140" i="9"/>
  <c r="M143" i="9"/>
  <c r="AR87" i="10" l="1"/>
  <c r="M152" i="9"/>
  <c r="AI100" i="10"/>
  <c r="AG99" i="10"/>
  <c r="M159" i="9" s="1"/>
  <c r="AR98" i="10"/>
  <c r="AF99" i="10"/>
  <c r="AO103" i="10" s="1"/>
  <c r="AQ103" i="10" s="1"/>
  <c r="AC100" i="10"/>
  <c r="AM99" i="10"/>
  <c r="N143" i="9"/>
  <c r="N144" i="9" s="1"/>
  <c r="O140" i="9"/>
  <c r="AP84" i="10"/>
  <c r="AO87" i="10"/>
  <c r="AQ87" i="10" s="1"/>
  <c r="N152" i="9" l="1"/>
  <c r="AM103" i="10"/>
  <c r="AG100" i="10"/>
  <c r="N160" i="9"/>
  <c r="N161" i="9" s="1"/>
  <c r="O151" i="9"/>
  <c r="P151" i="9" s="1"/>
  <c r="P140" i="9"/>
  <c r="O143" i="9"/>
  <c r="AF100" i="10"/>
  <c r="AM100" i="10"/>
  <c r="AP87" i="10"/>
  <c r="AO98" i="10"/>
  <c r="AQ98" i="10" s="1"/>
  <c r="Q140" i="9"/>
  <c r="N145" i="9"/>
  <c r="Q143" i="9" l="1"/>
  <c r="O144" i="9"/>
  <c r="P143" i="9"/>
  <c r="AP98" i="10"/>
  <c r="AO99" i="10"/>
  <c r="AQ99" i="10" s="1"/>
  <c r="O158" i="9" l="1"/>
  <c r="AP99" i="10"/>
  <c r="AO100" i="10"/>
  <c r="AQ100" i="10" s="1"/>
  <c r="AO104" i="10"/>
  <c r="AQ104" i="10" s="1"/>
  <c r="O145" i="9"/>
  <c r="P145" i="9" s="1"/>
  <c r="P144" i="9"/>
  <c r="AP100" i="10" l="1"/>
  <c r="G148" i="9" l="1"/>
  <c r="G149" i="9" s="1"/>
  <c r="I148" i="9" l="1"/>
  <c r="I149" i="9" s="1"/>
  <c r="H148" i="9"/>
  <c r="H149" i="9" s="1"/>
  <c r="J148" i="9"/>
  <c r="J149" i="9" s="1"/>
  <c r="K148" i="9" l="1"/>
  <c r="K149" i="9" s="1"/>
  <c r="N154" i="9" l="1"/>
  <c r="M146" i="9"/>
  <c r="N146" i="9" s="1"/>
  <c r="N147" i="9" s="1"/>
  <c r="O159" i="9"/>
  <c r="O160" i="9" s="1"/>
  <c r="M145" i="9"/>
  <c r="Q144" i="9"/>
  <c r="L162" i="9"/>
  <c r="M154" i="9"/>
  <c r="M155" i="9" s="1"/>
  <c r="M156" i="9" s="1"/>
  <c r="M147" i="9" l="1"/>
  <c r="N148" i="9"/>
  <c r="N149" i="9" s="1"/>
</calcChain>
</file>

<file path=xl/sharedStrings.xml><?xml version="1.0" encoding="utf-8"?>
<sst xmlns="http://schemas.openxmlformats.org/spreadsheetml/2006/main" count="550" uniqueCount="225">
  <si>
    <t xml:space="preserve">Deficit </t>
  </si>
  <si>
    <t>Costos de Funcionamiento Operativos AA</t>
  </si>
  <si>
    <t>Total Ingresos</t>
  </si>
  <si>
    <t>Diciembre</t>
  </si>
  <si>
    <t>Noviembre</t>
  </si>
  <si>
    <t>Julio</t>
  </si>
  <si>
    <t>Junio</t>
  </si>
  <si>
    <t>Disposición final</t>
  </si>
  <si>
    <t>Distribuccion Ac</t>
  </si>
  <si>
    <t>Potabilizacion Ac</t>
  </si>
  <si>
    <t>Captacion Ac</t>
  </si>
  <si>
    <t>Comercial Ac</t>
  </si>
  <si>
    <t>Generales/Administracion  Ac</t>
  </si>
  <si>
    <t>Subtotal Acueducto</t>
  </si>
  <si>
    <t>Recoleccion y transporte Alc</t>
  </si>
  <si>
    <t>Subtotal Alcantarillado</t>
  </si>
  <si>
    <t>Barrido vias</t>
  </si>
  <si>
    <t>Recolección y Transporte</t>
  </si>
  <si>
    <t>Servicios software INTEGRIN</t>
  </si>
  <si>
    <t>Arrendamiento oficina administrativa</t>
  </si>
  <si>
    <t>Suministro, recarga y mantenimiento de extintores de agua y polvo químico para las áreas operativas, administrativas y vehículos de la empresa</t>
  </si>
  <si>
    <t>Dotación de papelería y facturación</t>
  </si>
  <si>
    <t>Dotación de cafetería</t>
  </si>
  <si>
    <t>Fletes Marítimos y Terrestres</t>
  </si>
  <si>
    <t>Servicios personales de asesoría regulatoria, estudio de costos y tarifas</t>
  </si>
  <si>
    <t>Servicios personales - Seguridad y salud en el trabajo</t>
  </si>
  <si>
    <t>Servicios personales Comunicadora social</t>
  </si>
  <si>
    <t>Seguros y pólizas</t>
  </si>
  <si>
    <t>Almacenamiento virtual (nube)</t>
  </si>
  <si>
    <t>Arrendamiento contenedor</t>
  </si>
  <si>
    <t>celebración día del trabajo</t>
  </si>
  <si>
    <t>Servicios de vigilancia privada</t>
  </si>
  <si>
    <t>Mantenimiento y pintura de sede administrativa</t>
  </si>
  <si>
    <t>Suministros de alimentación, refrigerios e hidratación</t>
  </si>
  <si>
    <t>Otros gastos logísticos</t>
  </si>
  <si>
    <t xml:space="preserve">Personal Alc </t>
  </si>
  <si>
    <t>Personal Ac</t>
  </si>
  <si>
    <t>Servicios personales de outsourcing - asesoría contable y tributaria</t>
  </si>
  <si>
    <t>Revisoria fiscal 2SMLMV</t>
  </si>
  <si>
    <t>Agente Especial</t>
  </si>
  <si>
    <t>Enero</t>
  </si>
  <si>
    <t>Febrero</t>
  </si>
  <si>
    <t>Marzo</t>
  </si>
  <si>
    <t>Abril</t>
  </si>
  <si>
    <t>Mayo</t>
  </si>
  <si>
    <t>Agosto</t>
  </si>
  <si>
    <t>Sept</t>
  </si>
  <si>
    <t>Oct</t>
  </si>
  <si>
    <t>Acumulado</t>
  </si>
  <si>
    <t>Participacion %</t>
  </si>
  <si>
    <t>Concepto</t>
  </si>
  <si>
    <t xml:space="preserve">PROVIDENCE AND KETTLINA UTILITIES COMPANY SAS.            NIT.901352888-1                                                                    </t>
  </si>
  <si>
    <t>Costos de Funcionamiento Operativos Aseo</t>
  </si>
  <si>
    <t>Total Gastos Comerciales y de Administracion</t>
  </si>
  <si>
    <t>Nomina Administracion</t>
  </si>
  <si>
    <t>Nomina comercial</t>
  </si>
  <si>
    <t>Impuesto Industria y comercio 7X1000 Ingresos</t>
  </si>
  <si>
    <t xml:space="preserve">Generales/Administracion  </t>
  </si>
  <si>
    <t xml:space="preserve">Personal </t>
  </si>
  <si>
    <t xml:space="preserve"> </t>
  </si>
  <si>
    <t>Audiltor Interno</t>
  </si>
  <si>
    <t>Señalética</t>
  </si>
  <si>
    <t>Total Costos de Funcionamiento AAA</t>
  </si>
  <si>
    <t>Año 2023</t>
  </si>
  <si>
    <t>PRESUPUESTO DE FUNCIONAMIENTO AÑO 2023</t>
  </si>
  <si>
    <t>Dotación de uniformes para el personal, elementos de proteccion y bioseguridad  (pantalon , camisa, zapatos, impermeables, pantaneras, chalecos reflectivos)</t>
  </si>
  <si>
    <t>Aseo y Limpieza</t>
  </si>
  <si>
    <t xml:space="preserve">Otros gastos administrativos </t>
  </si>
  <si>
    <t xml:space="preserve">Gastos de viaje </t>
  </si>
  <si>
    <t>Capacitacion y bienestar social</t>
  </si>
  <si>
    <t xml:space="preserve">Alquiler de mulas y vehículos de transporte </t>
  </si>
  <si>
    <t xml:space="preserve">Licenciamiento software </t>
  </si>
  <si>
    <t>Servicios publicos (energia, telefono, aseo)</t>
  </si>
  <si>
    <t>Suscripción y afiliaciones</t>
  </si>
  <si>
    <t>Asesoria en contratacion</t>
  </si>
  <si>
    <t>Asesoria y argue sui</t>
  </si>
  <si>
    <t>Implementacion gestión documental</t>
  </si>
  <si>
    <t>Revison y acuañizacionmanuales corporativos y normograma</t>
  </si>
  <si>
    <t>Gastos legales: Cámara de comercio, notariales</t>
  </si>
  <si>
    <t>Actualizacion regulatoria</t>
  </si>
  <si>
    <t>Diseñador grafico actualizacion manual de identidad corporativa</t>
  </si>
  <si>
    <t>Profesional Financiero</t>
  </si>
  <si>
    <t>Psicologo</t>
  </si>
  <si>
    <t>Gastos de representacion</t>
  </si>
  <si>
    <t>Pagina WEB-Dominio actualizacion software</t>
  </si>
  <si>
    <t>Gastos bancarios</t>
  </si>
  <si>
    <t>Gravamen a los movimientos financieros</t>
  </si>
  <si>
    <t>Industria y comercio</t>
  </si>
  <si>
    <t>Contribuciones CRA</t>
  </si>
  <si>
    <t>Compra activos Equipo de computo (hardwaare, software), mobiliario oficina</t>
  </si>
  <si>
    <t>Compra Buldozer</t>
  </si>
  <si>
    <t>Compra barrido mecanico</t>
  </si>
  <si>
    <t>Plan de medios</t>
  </si>
  <si>
    <t>Recaudos</t>
  </si>
  <si>
    <t>Cargo fijo acueducto</t>
  </si>
  <si>
    <t>Cargo variable acueducto</t>
  </si>
  <si>
    <t>Ingresos por medidor acueducto</t>
  </si>
  <si>
    <t>Tarifa cargo variable Aseo</t>
  </si>
  <si>
    <t>Mutuo 194:   Planta desalinizadora Agua Dulce - RO 400</t>
  </si>
  <si>
    <t>Ejecucion</t>
  </si>
  <si>
    <t>Variacion</t>
  </si>
  <si>
    <t xml:space="preserve">Recuperacion cartera </t>
  </si>
  <si>
    <t>Presupuesto acumulado</t>
  </si>
  <si>
    <t>Ejecucion acumulada</t>
  </si>
  <si>
    <t>variacion acumulada</t>
  </si>
  <si>
    <t>Ejecucion Enero</t>
  </si>
  <si>
    <t>Ejecutado</t>
  </si>
  <si>
    <t>Ejecucion Febrero</t>
  </si>
  <si>
    <t>Camp-de sensi-y concient PUEAA (inc-materiales)</t>
  </si>
  <si>
    <t>Ejecucion Marzo</t>
  </si>
  <si>
    <t>Gastos legales: Cámara de comercio, notariales, ocre</t>
  </si>
  <si>
    <t>Totales</t>
  </si>
  <si>
    <t>Ejecucion Abril</t>
  </si>
  <si>
    <t>Ejecucion Mayo</t>
  </si>
  <si>
    <t>Ingresos por medidor acueducto/acometidas</t>
  </si>
  <si>
    <t>Ejecucion Junio</t>
  </si>
  <si>
    <t>Ejecucion Julio</t>
  </si>
  <si>
    <t>Ejecucion agosto</t>
  </si>
  <si>
    <t>En el mes de septiembre se retiraron del presupuesto</t>
  </si>
  <si>
    <t xml:space="preserve">optimizacion sistema electrico por </t>
  </si>
  <si>
    <t>Obras civil, caseta para instalación generador hipoclorito en sitio</t>
  </si>
  <si>
    <t>Asesoria cargue al sui</t>
  </si>
  <si>
    <t>Ejecucion septiembre</t>
  </si>
  <si>
    <t>Ejecucion octubre</t>
  </si>
  <si>
    <t>Ejecucion noviembre</t>
  </si>
  <si>
    <t>Ejecucion diciembre</t>
  </si>
  <si>
    <t>Año 2024</t>
  </si>
  <si>
    <t>Ingresos por conexiones nuevas</t>
  </si>
  <si>
    <t>Suspenciones y reconexiones</t>
  </si>
  <si>
    <t>Aseo</t>
  </si>
  <si>
    <t>Contratos Mutuos - Fondo Empresarial</t>
  </si>
  <si>
    <t>Construcción de pequeños tramos de acueducto - Vecinales</t>
  </si>
  <si>
    <t>Accesorios planta</t>
  </si>
  <si>
    <t>Mantenimiento generador hipoclorito</t>
  </si>
  <si>
    <t>Mantenimiento y pintura planta</t>
  </si>
  <si>
    <t>Filtros Generador Hipoclorito de Sodio</t>
  </si>
  <si>
    <t>Insumos químicos y reactivos (sal, AHC, polímero)</t>
  </si>
  <si>
    <t>Mantenimiento generador Diesel</t>
  </si>
  <si>
    <t>Cajón para lodos, basculante</t>
  </si>
  <si>
    <t>Mantenimiento conectividad tanques</t>
  </si>
  <si>
    <t>Mantenimiento redes</t>
  </si>
  <si>
    <t>Accesorios acueducto</t>
  </si>
  <si>
    <r>
      <t>Contrato obras civiles (</t>
    </r>
    <r>
      <rPr>
        <b/>
        <sz val="9"/>
        <rFont val="Calibri Light"/>
        <family val="2"/>
        <scheme val="major"/>
      </rPr>
      <t>2024</t>
    </r>
    <r>
      <rPr>
        <sz val="9"/>
        <rFont val="Calibri Light"/>
        <family val="2"/>
        <scheme val="major"/>
      </rPr>
      <t>)</t>
    </r>
  </si>
  <si>
    <t>Equipos trabajo confinado (rescate, ventilador)</t>
  </si>
  <si>
    <t>Mantenimiento Eléctrico y Mecánico para los sistemas de AAA</t>
  </si>
  <si>
    <t>Servicio público de aseo</t>
  </si>
  <si>
    <t>Combustible</t>
  </si>
  <si>
    <t xml:space="preserve">Elementos y artículos de ferretería, tornillería y jardinería Acu (60,6%)  Alc (1,5%) Aseo (37,9%), </t>
  </si>
  <si>
    <t>Implemento, herramientas y equipos de trabajo para la operación de acu, Alc y aseo  (70%) Acue (25%) Alc (5%)</t>
  </si>
  <si>
    <t>Mantenimiento y pintura de sede, maquinaria</t>
  </si>
  <si>
    <t>Prestación de servicio de maquinaria amarilla para el desarrollo de las actividades requeridas para la disposición de los residuos sólidos de acuerdo con las especificaciones y requerimientos técnicos establecidos por P&amp;K S.A.S E.S.P., en el sitio de disposición final blue Lizard – municipio de providencia y santa catalina islas.</t>
  </si>
  <si>
    <t>Servicio de mantenimiento predictivo, preventivo y correctivo de los vehículos tipo recolector-compactador de residuos sólidos de acuerdo con las especificaciones y requerimientos técnicos establecidos por P&amp;K SAS ESP  – municipio de providencia y santa catalina islas.</t>
  </si>
  <si>
    <t>Prestación de servicios para el servicio de mantenimiento predictivo, preventivo y correctivo de los vehículos tipo moto carro de residuos sólidos de acuerdo con las especificaciones y requerimientos técnicos establecidos por P&amp;K SAS ESP  – municipio de providencia y santa catalina islas.</t>
  </si>
  <si>
    <t>Realizar la compra repuestos para mantenimientos preventivos del vehículo recolector-compactador de acuerdo con las especificaciones y requerimientos técnicos establecidos por P&amp;K SAS ESP – en el municipio de providencia</t>
  </si>
  <si>
    <t>Realizar la compra repuestos para mantenimientos preventivos del vehículo recolector-motocarro de acuerdo con las especificaciones y requerimientos técnicos establecidos por P&amp;K SAS ESP – en el municipio de providencia</t>
  </si>
  <si>
    <t>Prestación de servicios para la recolección y transporte marítimo de residuos sólidos ordinarios generados en la isla de santa catalina y disposición en puerto en la isla de providencia de acuerdo con las especificaciones y requerimientos técnicos establecidos por P&amp;K SAS ESP.</t>
  </si>
  <si>
    <t>Realizar la compra de las llantas para el camión recolector-compactador de acuerdo con las especificaciones y requerimientos técnicos establecidos por P&amp;K SAS ESP - el municipio de providencia</t>
  </si>
  <si>
    <t>Arrendamiento de espacio para ser utilizado como taller, para realizar mantenimiento de vehículos recolectores de acuerdo con las especificaciones y requerimientos técnicos establecidos por PYK SAS ESP - en el municipio de providencia y santa catalina islas (incluye área de bodegaje de materiales/equipos/herramientas).</t>
  </si>
  <si>
    <t>Compra de material térreo para la cobertura de residuos sólidos y el mantenimiento de la vía interna del sitio de disposición final, incluye el transporte y descargue en la zona designada de acuerdo con especificaciones y requerimientos técnicos establecidos por P&amp;K S.A.S E.S.P. – municipio de providencia y santa catalina islas.</t>
  </si>
  <si>
    <t>Comprar bolsas plásticas de color negro y blanco para el servicio de aseo de acuerdo con especificaciones y requerimientos técnicos establecidos por P&amp;K S.A.S E.S.P., para las actividades de barrido, limpieza de áreas públicas y limpieza de playas en el municipio de providencia y santa catalina islas.</t>
  </si>
  <si>
    <t>Compra de filtros para el camión compacto recolector – compactador según las especificaciones técnicas.</t>
  </si>
  <si>
    <t>Para la prestación del servicio de seguridad privada para la protección, el monitoreo y la seguridad de las instalaciones, infraestructura y bienes del sitio de disposición final “BLUE LIZARD” de acuerdo con las especificaciones técnicas dadas por P&amp;K S.A.S E.S.P – municipio de providencia y santa catalina islas (no incluye arma).</t>
  </si>
  <si>
    <t>Contratar el servicio de instalación, reposición y/o mantenimiento de cámaras de seguridad dentro del sitio de disposición final blue Lizard mediante cámaras de seguridad fijas de cableado.</t>
  </si>
  <si>
    <t>Mantenimiento, compra e instalación de reflectores y tendido eléctrico para mantener las condiciones de iluminación en el relleno sanitario blue Lizard, municipio de providencia y santa catalina islas (incluye instalación, de acuerdo con las especificaciones y requerimientos técnicos establecidos por P&amp;K SAS ESP.</t>
  </si>
  <si>
    <t>Prestación de servicios de fumigación para realizar el control de vectores y plagas dentro de las instalaciones del sitio de disposición final “BLUE LIZARD” de acuerdo con las especificaciones y requerimientos técnicos establecidos por P&amp;K S.A.S E.S.P., en el municipio de providencia y santa catalina islas.</t>
  </si>
  <si>
    <t>Contratar el servicio de toma de fotografías y videos del sitio de disposición final mediante vuelos fotogramétricos con DRON.</t>
  </si>
  <si>
    <t>Contratar el servicio de monitoreo geotécnico con topografía.</t>
  </si>
  <si>
    <t>Contratar el monitoreo de la vida útil remanente.</t>
  </si>
  <si>
    <t>Contribuciones CRA-SUPER</t>
  </si>
  <si>
    <t>Transporte Agua potable</t>
  </si>
  <si>
    <t>Reforestacion</t>
  </si>
  <si>
    <t>CRETIB</t>
  </si>
  <si>
    <t>Limpieza de cuencas</t>
  </si>
  <si>
    <t>Permiso de vertimiento (alcantarillado)</t>
  </si>
  <si>
    <t>Permiso de concesión de agua</t>
  </si>
  <si>
    <t>Vertimiento Acueducto, Tasa Retributiva</t>
  </si>
  <si>
    <t>Vertimientos Alcantarillado, Tasa retributivas</t>
  </si>
  <si>
    <t>Sanción Coralina ( Vertimiento Santa Catalina) y ( Relleno Sanitario)</t>
  </si>
  <si>
    <t>Análisis emisión de gases, sitio de disposición final residuos sólidos</t>
  </si>
  <si>
    <t>Otras compras y servicios</t>
  </si>
  <si>
    <t>Adquisición y /o reposición de equipos de seguridad y vigilancia (suministro, instalación, servicios)</t>
  </si>
  <si>
    <t>Dotación de cafetería, agua en botellon, hielo</t>
  </si>
  <si>
    <t>Capacitacion y bienestar social, botiquin</t>
  </si>
  <si>
    <t>Cargo fijo alcantarillado</t>
  </si>
  <si>
    <t>Cargo variable alcantarillado</t>
  </si>
  <si>
    <t>Gastos comerciales</t>
  </si>
  <si>
    <t>Contraloria, Ocre</t>
  </si>
  <si>
    <t>Gastos de Administracion</t>
  </si>
  <si>
    <t>Gastos ambientales</t>
  </si>
  <si>
    <t>Total Gastos Comerciales, administracion y ambientales</t>
  </si>
  <si>
    <t>Combustibles</t>
  </si>
  <si>
    <t>Suspenciones y reconexiones y otros</t>
  </si>
  <si>
    <t>PRESUPUESTO DE FUNCIONAMIENTO AÑO 2024</t>
  </si>
  <si>
    <t>Combustible/reclasificar</t>
  </si>
  <si>
    <t>Recuperacion de cartera</t>
  </si>
  <si>
    <t xml:space="preserve">Servicio público </t>
  </si>
  <si>
    <t>Subsidios</t>
  </si>
  <si>
    <t>Contrato laboratorio (AAA) corregir distribucion</t>
  </si>
  <si>
    <t>Psicologo-Baeria riesgo psicosocial</t>
  </si>
  <si>
    <t>Estudios compuerta Embalse Fresh Water Bay</t>
  </si>
  <si>
    <t>Captacion Ac/revisar mayo</t>
  </si>
  <si>
    <t>Sanción Coralina ( Vertimiento Santa Catalina) y ( Relleno Sanitario)/PMU</t>
  </si>
  <si>
    <t>PMU, evaluacion de los estudios tecnicos para la optimizacion del relleno sanitario</t>
  </si>
  <si>
    <t>Ppto Qcos</t>
  </si>
  <si>
    <t>Ejec</t>
  </si>
  <si>
    <t>PP Laboratorio</t>
  </si>
  <si>
    <t>PP pequeños tramos</t>
  </si>
  <si>
    <t>Accesorios</t>
  </si>
  <si>
    <t>Obras civiles</t>
  </si>
  <si>
    <t>Mtto electromecanico</t>
  </si>
  <si>
    <t>Servicios pcos</t>
  </si>
  <si>
    <t>Mto vehiculo</t>
  </si>
  <si>
    <t>Articulos proteccion</t>
  </si>
  <si>
    <t>Vigilancia</t>
  </si>
  <si>
    <t>Fumigacion</t>
  </si>
  <si>
    <t>Tte residuos</t>
  </si>
  <si>
    <t>Mto aires</t>
  </si>
  <si>
    <t>Cont</t>
  </si>
  <si>
    <t>Soft</t>
  </si>
  <si>
    <t>Ambiental</t>
  </si>
  <si>
    <t>Compra Maq</t>
  </si>
  <si>
    <t>Compra lancha</t>
  </si>
  <si>
    <t>Mtto-generador hipoclorito</t>
  </si>
  <si>
    <t>Arrend espacio</t>
  </si>
  <si>
    <t>Pequeños tramos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</si>
</sst>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&quot;$&quot;\ * #,##0.00_-;\-&quot;$&quot;\ * #,##0.00_-;_-&quot;$&quot;\ * &quot;-&quot;_-;_-@_-"/>
    <numFmt numFmtId="167" formatCode="_-* #,##0.000_-;\-* #,##0.000_-;_-* &quot;-&quot;??_-;_-@_-"/>
    <numFmt numFmtId="168" formatCode="_-* #,##0.0000_-;\-* #,##0.0000_-;_-* &quot;-&quot;??_-;_-@_-"/>
    <numFmt numFmtId="169" formatCode="_-* #,##0.000_-;\-* #,##0.000_-;_-* &quot;-&quot;???_-;_-@_-"/>
    <numFmt numFmtId="170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164" fontId="0" fillId="0" borderId="0" xfId="0" applyNumberFormat="1"/>
    <xf numFmtId="42" fontId="0" fillId="0" borderId="0" xfId="0" applyNumberFormat="1"/>
    <xf numFmtId="164" fontId="6" fillId="0" borderId="2" xfId="1" applyNumberFormat="1" applyFont="1" applyFill="1" applyBorder="1"/>
    <xf numFmtId="0" fontId="0" fillId="0" borderId="6" xfId="0" applyBorder="1"/>
    <xf numFmtId="164" fontId="6" fillId="0" borderId="2" xfId="0" applyNumberFormat="1" applyFont="1" applyBorder="1"/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9" xfId="0" applyNumberFormat="1" applyFont="1" applyFill="1" applyBorder="1"/>
    <xf numFmtId="164" fontId="9" fillId="0" borderId="2" xfId="1" applyNumberFormat="1" applyFont="1" applyFill="1" applyBorder="1"/>
    <xf numFmtId="0" fontId="3" fillId="2" borderId="6" xfId="0" applyFont="1" applyFill="1" applyBorder="1"/>
    <xf numFmtId="0" fontId="2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43" fontId="8" fillId="0" borderId="0" xfId="3" applyFont="1" applyBorder="1" applyAlignment="1">
      <alignment horizontal="left"/>
    </xf>
    <xf numFmtId="164" fontId="2" fillId="2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6" xfId="0" applyBorder="1" applyAlignment="1">
      <alignment horizontal="justify" wrapText="1"/>
    </xf>
    <xf numFmtId="164" fontId="0" fillId="0" borderId="6" xfId="1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6" fillId="0" borderId="6" xfId="0" applyFont="1" applyBorder="1"/>
    <xf numFmtId="3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6" fillId="0" borderId="7" xfId="4" applyNumberFormat="1" applyFont="1" applyFill="1" applyBorder="1"/>
    <xf numFmtId="165" fontId="6" fillId="0" borderId="7" xfId="4" applyNumberFormat="1" applyFont="1" applyFill="1" applyBorder="1"/>
    <xf numFmtId="10" fontId="2" fillId="2" borderId="7" xfId="4" applyNumberFormat="1" applyFont="1" applyFill="1" applyBorder="1"/>
    <xf numFmtId="10" fontId="2" fillId="2" borderId="10" xfId="4" applyNumberFormat="1" applyFont="1" applyFill="1" applyBorder="1"/>
    <xf numFmtId="0" fontId="2" fillId="0" borderId="0" xfId="0" applyFont="1" applyAlignment="1">
      <alignment horizontal="justify" vertical="center" wrapText="1"/>
    </xf>
    <xf numFmtId="43" fontId="2" fillId="0" borderId="0" xfId="0" applyNumberFormat="1" applyFont="1"/>
    <xf numFmtId="164" fontId="2" fillId="0" borderId="0" xfId="0" applyNumberFormat="1" applyFont="1"/>
    <xf numFmtId="43" fontId="9" fillId="0" borderId="0" xfId="0" applyNumberFormat="1" applyFont="1"/>
    <xf numFmtId="164" fontId="0" fillId="0" borderId="0" xfId="1" applyNumberFormat="1" applyFont="1" applyFill="1"/>
    <xf numFmtId="43" fontId="6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43" fontId="6" fillId="0" borderId="7" xfId="4" applyNumberFormat="1" applyFont="1" applyFill="1" applyBorder="1"/>
    <xf numFmtId="0" fontId="2" fillId="0" borderId="1" xfId="0" applyFont="1" applyBorder="1" applyAlignment="1">
      <alignment horizontal="center" vertical="center"/>
    </xf>
    <xf numFmtId="43" fontId="2" fillId="0" borderId="0" xfId="1" applyFont="1" applyFill="1" applyBorder="1"/>
    <xf numFmtId="164" fontId="6" fillId="4" borderId="2" xfId="1" applyNumberFormat="1" applyFont="1" applyFill="1" applyBorder="1"/>
    <xf numFmtId="10" fontId="0" fillId="0" borderId="0" xfId="0" applyNumberFormat="1"/>
    <xf numFmtId="10" fontId="6" fillId="0" borderId="0" xfId="0" applyNumberFormat="1" applyFont="1"/>
    <xf numFmtId="164" fontId="2" fillId="0" borderId="2" xfId="1" applyNumberFormat="1" applyFont="1" applyFill="1" applyBorder="1"/>
    <xf numFmtId="167" fontId="2" fillId="0" borderId="0" xfId="0" applyNumberFormat="1" applyFont="1"/>
    <xf numFmtId="167" fontId="0" fillId="0" borderId="0" xfId="0" applyNumberFormat="1"/>
    <xf numFmtId="164" fontId="6" fillId="5" borderId="2" xfId="1" applyNumberFormat="1" applyFont="1" applyFill="1" applyBorder="1"/>
    <xf numFmtId="164" fontId="0" fillId="0" borderId="0" xfId="1" applyNumberFormat="1" applyFont="1" applyAlignment="1">
      <alignment horizontal="left" wrapText="1"/>
    </xf>
    <xf numFmtId="43" fontId="4" fillId="0" borderId="0" xfId="0" applyNumberFormat="1" applyFont="1"/>
    <xf numFmtId="168" fontId="0" fillId="0" borderId="0" xfId="0" applyNumberFormat="1"/>
    <xf numFmtId="0" fontId="11" fillId="0" borderId="14" xfId="0" applyFont="1" applyBorder="1" applyAlignment="1">
      <alignment horizontal="justify" vertical="center" wrapText="1"/>
    </xf>
    <xf numFmtId="0" fontId="2" fillId="0" borderId="6" xfId="0" applyFont="1" applyBorder="1"/>
    <xf numFmtId="0" fontId="11" fillId="7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justify" vertical="center" wrapText="1"/>
    </xf>
    <xf numFmtId="3" fontId="13" fillId="0" borderId="14" xfId="11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1" fillId="7" borderId="0" xfId="0" applyFont="1" applyFill="1" applyAlignment="1">
      <alignment horizontal="left" vertical="center" wrapText="1"/>
    </xf>
    <xf numFmtId="0" fontId="0" fillId="9" borderId="6" xfId="0" applyFill="1" applyBorder="1"/>
    <xf numFmtId="3" fontId="13" fillId="0" borderId="14" xfId="10" applyNumberFormat="1" applyFont="1" applyBorder="1" applyAlignment="1">
      <alignment vertical="center"/>
    </xf>
    <xf numFmtId="3" fontId="13" fillId="0" borderId="14" xfId="10" applyNumberFormat="1" applyFont="1" applyFill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3" fontId="14" fillId="0" borderId="14" xfId="10" applyNumberFormat="1" applyFont="1" applyBorder="1" applyAlignment="1">
      <alignment vertical="center"/>
    </xf>
    <xf numFmtId="3" fontId="14" fillId="0" borderId="14" xfId="10" applyNumberFormat="1" applyFont="1" applyBorder="1"/>
    <xf numFmtId="10" fontId="2" fillId="0" borderId="7" xfId="4" applyNumberFormat="1" applyFont="1" applyFill="1" applyBorder="1"/>
    <xf numFmtId="43" fontId="0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Fill="1"/>
    <xf numFmtId="0" fontId="15" fillId="0" borderId="6" xfId="0" applyFont="1" applyBorder="1"/>
    <xf numFmtId="0" fontId="15" fillId="0" borderId="6" xfId="0" applyFont="1" applyBorder="1" applyAlignment="1">
      <alignment horizontal="justify" wrapText="1"/>
    </xf>
    <xf numFmtId="0" fontId="0" fillId="9" borderId="6" xfId="0" applyFill="1" applyBorder="1" applyAlignment="1">
      <alignment horizontal="justify" wrapText="1"/>
    </xf>
    <xf numFmtId="10" fontId="4" fillId="0" borderId="0" xfId="1" applyNumberFormat="1" applyFont="1"/>
    <xf numFmtId="10" fontId="0" fillId="0" borderId="0" xfId="1" applyNumberFormat="1" applyFont="1"/>
    <xf numFmtId="3" fontId="14" fillId="0" borderId="14" xfId="10" applyNumberFormat="1" applyFont="1" applyFill="1" applyBorder="1" applyAlignment="1">
      <alignment vertical="center"/>
    </xf>
    <xf numFmtId="164" fontId="6" fillId="11" borderId="2" xfId="1" applyNumberFormat="1" applyFont="1" applyFill="1" applyBorder="1"/>
    <xf numFmtId="0" fontId="16" fillId="2" borderId="5" xfId="0" applyFont="1" applyFill="1" applyBorder="1" applyAlignment="1">
      <alignment horizontal="justify" vertical="center" wrapText="1"/>
    </xf>
    <xf numFmtId="164" fontId="1" fillId="0" borderId="2" xfId="1" applyNumberFormat="1" applyFont="1" applyFill="1" applyBorder="1"/>
    <xf numFmtId="3" fontId="14" fillId="0" borderId="15" xfId="0" applyNumberFormat="1" applyFont="1" applyBorder="1"/>
    <xf numFmtId="3" fontId="13" fillId="0" borderId="14" xfId="11" applyNumberFormat="1" applyFont="1" applyFill="1" applyBorder="1" applyAlignment="1">
      <alignment vertical="center"/>
    </xf>
    <xf numFmtId="3" fontId="14" fillId="0" borderId="14" xfId="10" applyNumberFormat="1" applyFont="1" applyFill="1" applyBorder="1"/>
    <xf numFmtId="169" fontId="4" fillId="0" borderId="0" xfId="0" applyNumberFormat="1" applyFont="1"/>
    <xf numFmtId="164" fontId="6" fillId="12" borderId="2" xfId="1" applyNumberFormat="1" applyFont="1" applyFill="1" applyBorder="1"/>
    <xf numFmtId="3" fontId="13" fillId="12" borderId="14" xfId="10" applyNumberFormat="1" applyFont="1" applyFill="1" applyBorder="1" applyAlignment="1">
      <alignment vertical="center"/>
    </xf>
    <xf numFmtId="164" fontId="6" fillId="10" borderId="2" xfId="1" applyNumberFormat="1" applyFont="1" applyFill="1" applyBorder="1"/>
    <xf numFmtId="3" fontId="13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/>
    <xf numFmtId="164" fontId="9" fillId="10" borderId="2" xfId="1" applyNumberFormat="1" applyFont="1" applyFill="1" applyBorder="1"/>
    <xf numFmtId="170" fontId="17" fillId="0" borderId="2" xfId="12" applyNumberFormat="1" applyFont="1" applyFill="1" applyBorder="1" applyAlignment="1">
      <alignment horizontal="left" vertical="center" indent="2"/>
    </xf>
    <xf numFmtId="164" fontId="6" fillId="2" borderId="2" xfId="1" applyNumberFormat="1" applyFont="1" applyFill="1" applyBorder="1"/>
    <xf numFmtId="3" fontId="14" fillId="2" borderId="14" xfId="10" applyNumberFormat="1" applyFont="1" applyFill="1" applyBorder="1" applyAlignment="1">
      <alignment vertical="center"/>
    </xf>
    <xf numFmtId="3" fontId="13" fillId="2" borderId="14" xfId="10" applyNumberFormat="1" applyFont="1" applyFill="1" applyBorder="1" applyAlignment="1">
      <alignment vertical="center"/>
    </xf>
    <xf numFmtId="3" fontId="13" fillId="2" borderId="14" xfId="11" applyNumberFormat="1" applyFont="1" applyFill="1" applyBorder="1" applyAlignment="1">
      <alignment vertical="center"/>
    </xf>
    <xf numFmtId="3" fontId="14" fillId="2" borderId="14" xfId="0" applyNumberFormat="1" applyFont="1" applyFill="1" applyBorder="1" applyAlignment="1">
      <alignment vertical="center"/>
    </xf>
    <xf numFmtId="164" fontId="6" fillId="13" borderId="2" xfId="1" applyNumberFormat="1" applyFont="1" applyFill="1" applyBorder="1"/>
    <xf numFmtId="3" fontId="13" fillId="13" borderId="14" xfId="10" applyNumberFormat="1" applyFont="1" applyFill="1" applyBorder="1" applyAlignment="1">
      <alignment vertical="center"/>
    </xf>
    <xf numFmtId="3" fontId="14" fillId="12" borderId="15" xfId="0" applyNumberFormat="1" applyFont="1" applyFill="1" applyBorder="1" applyAlignment="1">
      <alignment vertical="center"/>
    </xf>
    <xf numFmtId="44" fontId="0" fillId="0" borderId="0" xfId="0" applyNumberFormat="1"/>
    <xf numFmtId="164" fontId="18" fillId="0" borderId="0" xfId="0" applyNumberFormat="1" applyFont="1"/>
    <xf numFmtId="164" fontId="18" fillId="0" borderId="0" xfId="1" applyNumberFormat="1" applyFont="1"/>
    <xf numFmtId="164" fontId="18" fillId="12" borderId="0" xfId="0" applyNumberFormat="1" applyFont="1" applyFill="1"/>
    <xf numFmtId="164" fontId="18" fillId="10" borderId="0" xfId="0" applyNumberFormat="1" applyFont="1" applyFill="1"/>
    <xf numFmtId="164" fontId="18" fillId="9" borderId="0" xfId="0" applyNumberFormat="1" applyFont="1" applyFill="1"/>
    <xf numFmtId="164" fontId="6" fillId="9" borderId="2" xfId="1" applyNumberFormat="1" applyFont="1" applyFill="1" applyBorder="1"/>
    <xf numFmtId="0" fontId="18" fillId="0" borderId="0" xfId="0" applyFont="1"/>
    <xf numFmtId="164" fontId="18" fillId="0" borderId="0" xfId="1" applyNumberFormat="1" applyFont="1" applyFill="1"/>
    <xf numFmtId="3" fontId="13" fillId="10" borderId="14" xfId="11" applyNumberFormat="1" applyFont="1" applyFill="1" applyBorder="1" applyAlignment="1">
      <alignment vertical="center"/>
    </xf>
    <xf numFmtId="3" fontId="14" fillId="10" borderId="14" xfId="0" applyNumberFormat="1" applyFont="1" applyFill="1" applyBorder="1" applyAlignment="1">
      <alignment vertical="center"/>
    </xf>
    <xf numFmtId="3" fontId="13" fillId="14" borderId="14" xfId="10" applyNumberFormat="1" applyFont="1" applyFill="1" applyBorder="1" applyAlignment="1">
      <alignment vertical="center"/>
    </xf>
    <xf numFmtId="164" fontId="6" fillId="14" borderId="2" xfId="1" applyNumberFormat="1" applyFont="1" applyFill="1" applyBorder="1"/>
    <xf numFmtId="164" fontId="18" fillId="15" borderId="0" xfId="0" applyNumberFormat="1" applyFont="1" applyFill="1"/>
    <xf numFmtId="164" fontId="18" fillId="16" borderId="0" xfId="0" applyNumberFormat="1" applyFont="1" applyFill="1"/>
    <xf numFmtId="164" fontId="18" fillId="16" borderId="0" xfId="1" applyNumberFormat="1" applyFont="1" applyFill="1"/>
    <xf numFmtId="0" fontId="15" fillId="0" borderId="6" xfId="0" applyFont="1" applyBorder="1" applyAlignment="1">
      <alignment horizontal="left" wrapText="1"/>
    </xf>
    <xf numFmtId="164" fontId="6" fillId="3" borderId="2" xfId="1" applyNumberFormat="1" applyFont="1" applyFill="1" applyBorder="1"/>
    <xf numFmtId="164" fontId="6" fillId="6" borderId="2" xfId="1" applyNumberFormat="1" applyFont="1" applyFill="1" applyBorder="1"/>
    <xf numFmtId="164" fontId="18" fillId="6" borderId="0" xfId="0" applyNumberFormat="1" applyFont="1" applyFill="1"/>
    <xf numFmtId="164" fontId="18" fillId="17" borderId="0" xfId="0" applyNumberFormat="1" applyFont="1" applyFill="1"/>
    <xf numFmtId="164" fontId="6" fillId="17" borderId="2" xfId="1" applyNumberFormat="1" applyFont="1" applyFill="1" applyBorder="1"/>
    <xf numFmtId="43" fontId="8" fillId="0" borderId="0" xfId="3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left" wrapText="1"/>
    </xf>
  </cellXfs>
  <cellStyles count="13">
    <cellStyle name="Millares" xfId="1" builtinId="3"/>
    <cellStyle name="Millares 13" xfId="9" xr:uid="{F192DA75-91B2-469E-A361-3F8EC7C504C8}"/>
    <cellStyle name="Millares 17" xfId="8" xr:uid="{359C2981-905B-4E1E-AF6F-E0D1192CA49F}"/>
    <cellStyle name="Millares 2" xfId="5" xr:uid="{894E9143-984B-4210-B588-400529AC7FA3}"/>
    <cellStyle name="Millares 22" xfId="3" xr:uid="{5F630E82-B661-4D35-A9ED-3F08C2D85B46}"/>
    <cellStyle name="Millares 22 2" xfId="7" xr:uid="{E7BDD168-D8DB-42FB-94DE-F0DA41F99A18}"/>
    <cellStyle name="Moneda" xfId="10" builtinId="4"/>
    <cellStyle name="Moneda [0] 3" xfId="2" xr:uid="{F9B61FBC-3171-4D08-A43B-E17247AC1AD9}"/>
    <cellStyle name="Moneda [0] 3 2" xfId="6" xr:uid="{77E336C7-D0BC-45F9-B0B7-9285AB287D4B}"/>
    <cellStyle name="Moneda 6" xfId="11" xr:uid="{03B01CB7-AD74-4960-9EAE-FEAA26606DD5}"/>
    <cellStyle name="Moneda 7" xfId="12" xr:uid="{E36FC0E2-3A1E-472C-88D8-7DECAD23D7C4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9" Type="http://schemas.microsoft.com/office/2017/10/relationships/person" Target="persons/person2.xml"/><Relationship Id="rId21" Type="http://schemas.openxmlformats.org/officeDocument/2006/relationships/externalLink" Target="externalLinks/externalLink17.xml"/><Relationship Id="rId42" Type="http://schemas.microsoft.com/office/2017/10/relationships/person" Target="persons/person9.xml"/><Relationship Id="rId47" Type="http://schemas.microsoft.com/office/2017/10/relationships/person" Target="persons/person5.xml"/><Relationship Id="rId63" Type="http://schemas.microsoft.com/office/2017/10/relationships/person" Target="persons/person0.xml"/><Relationship Id="rId68" Type="http://schemas.microsoft.com/office/2017/10/relationships/person" Target="persons/person33.xml"/><Relationship Id="rId34" Type="http://schemas.microsoft.com/office/2017/10/relationships/person" Target="persons/person4.xml"/><Relationship Id="rId50" Type="http://schemas.microsoft.com/office/2017/10/relationships/person" Target="persons/person23.xml"/><Relationship Id="rId55" Type="http://schemas.microsoft.com/office/2017/10/relationships/person" Target="persons/person22.xml"/><Relationship Id="rId76" Type="http://schemas.microsoft.com/office/2017/10/relationships/person" Target="persons/person41.xml"/><Relationship Id="rId84" Type="http://schemas.microsoft.com/office/2017/10/relationships/person" Target="persons/person45.xml"/><Relationship Id="rId7" Type="http://schemas.openxmlformats.org/officeDocument/2006/relationships/externalLink" Target="externalLinks/externalLink3.xml"/><Relationship Id="rId71" Type="http://schemas.microsoft.com/office/2017/10/relationships/person" Target="persons/person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40" Type="http://schemas.microsoft.com/office/2017/10/relationships/person" Target="persons/person20.xml"/><Relationship Id="rId37" Type="http://schemas.microsoft.com/office/2017/10/relationships/person" Target="persons/person12.xml"/><Relationship Id="rId45" Type="http://schemas.microsoft.com/office/2017/10/relationships/person" Target="persons/person17.xml"/><Relationship Id="rId53" Type="http://schemas.microsoft.com/office/2017/10/relationships/person" Target="persons/person16.xml"/><Relationship Id="rId58" Type="http://schemas.microsoft.com/office/2017/10/relationships/person" Target="persons/person26.xml"/><Relationship Id="rId66" Type="http://schemas.microsoft.com/office/2017/10/relationships/person" Target="persons/person32.xml"/><Relationship Id="rId74" Type="http://schemas.microsoft.com/office/2017/10/relationships/person" Target="persons/person42.xml"/><Relationship Id="rId79" Type="http://schemas.microsoft.com/office/2017/10/relationships/person" Target="persons/person46.xml"/><Relationship Id="rId5" Type="http://schemas.openxmlformats.org/officeDocument/2006/relationships/externalLink" Target="externalLinks/externalLink1.xml"/><Relationship Id="rId61" Type="http://schemas.microsoft.com/office/2017/10/relationships/person" Target="persons/person28.xml"/><Relationship Id="rId82" Type="http://schemas.microsoft.com/office/2017/10/relationships/person" Target="persons/person4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60" Type="http://schemas.microsoft.com/office/2017/10/relationships/person" Target="persons/person27.xml"/><Relationship Id="rId52" Type="http://schemas.microsoft.com/office/2017/10/relationships/person" Target="persons/person24.xml"/><Relationship Id="rId44" Type="http://schemas.microsoft.com/office/2017/10/relationships/person" Target="persons/person15.xml"/><Relationship Id="rId65" Type="http://schemas.microsoft.com/office/2017/10/relationships/person" Target="persons/person30.xml"/><Relationship Id="rId73" Type="http://schemas.microsoft.com/office/2017/10/relationships/person" Target="persons/person38.xml"/><Relationship Id="rId78" Type="http://schemas.microsoft.com/office/2017/10/relationships/person" Target="persons/person44.xml"/><Relationship Id="rId81" Type="http://schemas.microsoft.com/office/2017/10/relationships/person" Target="persons/person49.xml"/><Relationship Id="rId86" Type="http://schemas.microsoft.com/office/2017/10/relationships/person" Target="persons/person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Relationship Id="rId77" Type="http://schemas.microsoft.com/office/2017/10/relationships/person" Target="persons/person51.xml"/><Relationship Id="rId69" Type="http://schemas.microsoft.com/office/2017/10/relationships/person" Target="persons/person37.xml"/><Relationship Id="rId64" Type="http://schemas.microsoft.com/office/2017/10/relationships/person" Target="persons/person31.xml"/><Relationship Id="rId56" Type="http://schemas.microsoft.com/office/2017/10/relationships/person" Target="persons/person29.xml"/><Relationship Id="rId48" Type="http://schemas.microsoft.com/office/2017/10/relationships/person" Target="persons/person11.xml"/><Relationship Id="rId43" Type="http://schemas.microsoft.com/office/2017/10/relationships/person" Target="persons/person19.xml"/><Relationship Id="rId35" Type="http://schemas.microsoft.com/office/2017/10/relationships/person" Target="persons/person3.xml"/><Relationship Id="rId8" Type="http://schemas.openxmlformats.org/officeDocument/2006/relationships/externalLink" Target="externalLinks/externalLink4.xml"/><Relationship Id="rId80" Type="http://schemas.microsoft.com/office/2017/10/relationships/person" Target="persons/person50.xml"/><Relationship Id="rId72" Type="http://schemas.microsoft.com/office/2017/10/relationships/person" Target="persons/person39.xml"/><Relationship Id="rId51" Type="http://schemas.microsoft.com/office/2017/10/relationships/person" Target="persons/person8.xml"/><Relationship Id="rId85" Type="http://schemas.microsoft.com/office/2017/10/relationships/person" Target="persons/person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67" Type="http://schemas.microsoft.com/office/2017/10/relationships/person" Target="persons/person34.xml"/><Relationship Id="rId38" Type="http://schemas.microsoft.com/office/2017/10/relationships/person" Target="persons/person14.xml"/><Relationship Id="rId46" Type="http://schemas.microsoft.com/office/2017/10/relationships/person" Target="persons/person18.xml"/><Relationship Id="rId59" Type="http://schemas.microsoft.com/office/2017/10/relationships/person" Target="persons/person25.xml"/><Relationship Id="rId20" Type="http://schemas.openxmlformats.org/officeDocument/2006/relationships/externalLink" Target="externalLinks/externalLink16.xml"/><Relationship Id="rId83" Type="http://schemas.microsoft.com/office/2017/10/relationships/person" Target="persons/person.xml"/><Relationship Id="rId75" Type="http://schemas.microsoft.com/office/2017/10/relationships/person" Target="persons/person43.xml"/><Relationship Id="rId70" Type="http://schemas.microsoft.com/office/2017/10/relationships/person" Target="persons/person36.xml"/><Relationship Id="rId41" Type="http://schemas.microsoft.com/office/2017/10/relationships/person" Target="persons/person13.xml"/><Relationship Id="rId54" Type="http://schemas.microsoft.com/office/2017/10/relationships/person" Target="persons/person6.xml"/><Relationship Id="rId62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ustomXml" Target="../customXml/item1.xml"/><Relationship Id="rId36" Type="http://schemas.microsoft.com/office/2017/10/relationships/person" Target="persons/person1.xml"/><Relationship Id="rId49" Type="http://schemas.microsoft.com/office/2017/10/relationships/person" Target="persons/person21.xml"/><Relationship Id="rId57" Type="http://schemas.microsoft.com/office/2017/10/relationships/person" Target="persons/person7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rzo/Situacionfraint202303V1.xls" TargetMode="External"/><Relationship Id="rId1" Type="http://schemas.openxmlformats.org/officeDocument/2006/relationships/externalLinkPath" Target="/personal/contadora_idalmypalacios_onmicrosoft_com/Documents/YOSSARLY/MIS%20DOCUMENTOS/PYK/2023/Estadosfros/Marzo/Situacionfraint202303V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Relationship Id="rId1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Abril/Situacionfraint202304V1.xls" TargetMode="External"/><Relationship Id="rId1" Type="http://schemas.openxmlformats.org/officeDocument/2006/relationships/externalLinkPath" Target="/personal/contadora_idalmypalacios_onmicrosoft_com/Documents/YOSSARLY/MIS%20DOCUMENTOS/PYK/2023/Estadosfros/Abril/Situacionfraint202304V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yo/Situacionfraint202305V1.xls" TargetMode="External"/><Relationship Id="rId1" Type="http://schemas.openxmlformats.org/officeDocument/2006/relationships/externalLinkPath" Target="/personal/contadora_idalmypalacios_onmicrosoft_com/Documents/YOSSARLY/MIS%20DOCUMENTOS/PYK/2023/Estadosfros/Mayo/Situacionfraint202305V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Abril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Abril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Marzo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Marzo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_PyK_2024.xlsx" TargetMode="External"/><Relationship Id="rId1" Type="http://schemas.openxmlformats.org/officeDocument/2006/relationships/externalLinkPath" Target="/personal/contadora_idalmypalacios_onmicrosoft_com/Documents/YOSSARLY/MIS%20DOCUMENTOS/PYK/2024/Ppto/Presupuesto_PyK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Ok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Ok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0%20Presupuesto_PyK_2024_Def01-05-2024%20-%20copia%20Modificacion%202.xlsx" TargetMode="External"/><Relationship Id="rId1" Type="http://schemas.openxmlformats.org/officeDocument/2006/relationships/externalLinkPath" Target="/personal/contadora_idalmypalacios_onmicrosoft_com/Documents/YOSSARLY/MIS%20DOCUMENTOS/PYK/2024/Ppto/0%20Presupuesto_PyK_2024_Def01-05-2024%20-%20copia%20Modificacion%20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Presupuesto%20Pyk_2023_SSPD_Dic%2007%202023originalw.xlsx" TargetMode="External"/><Relationship Id="rId1" Type="http://schemas.openxmlformats.org/officeDocument/2006/relationships/externalLinkPath" Target="/personal/contadora_idalmypalacios_onmicrosoft_com/Documents/YOSSARLY/MIS%20DOCUMENTOS/PYK/2023/Presupuesto/Presupuesto%20Pyk_2023_SSPD_Dic%2007%202023originalw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Septiembre/EPpto%20202409.xlsx" TargetMode="External"/><Relationship Id="rId1" Type="http://schemas.openxmlformats.org/officeDocument/2006/relationships/externalLinkPath" Target="/personal/contadora_idalmypalacios_onmicrosoft_com/Documents/YOSSARLY/MIS%20DOCUMENTOS/PYK/2024/Estfros/Septiembre/EPpto%20202409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Mayo/Situacionfraint202405V1.xls" TargetMode="External"/><Relationship Id="rId1" Type="http://schemas.openxmlformats.org/officeDocument/2006/relationships/externalLinkPath" Target="/personal/contadora_idalmypalacios_onmicrosoft_com/Documents/YOSSARLY/MIS%20DOCUMENTOS/PYK/2024/Estfros/Mayo/Situacionfraint202405V1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Junio/Situacionfraint202406V3.xls" TargetMode="External"/><Relationship Id="rId1" Type="http://schemas.openxmlformats.org/officeDocument/2006/relationships/externalLinkPath" Target="/personal/contadora_idalmypalacios_onmicrosoft_com/Documents/YOSSARLY/MIS%20DOCUMENTOS/PYK/2024/Estfros/Junio/Situacionfraint202406V3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Julio/Situacionfraint202407V1.xls" TargetMode="External"/><Relationship Id="rId1" Type="http://schemas.openxmlformats.org/officeDocument/2006/relationships/externalLinkPath" Target="/personal/contadora_idalmypalacios_onmicrosoft_com/Documents/YOSSARLY/MIS%20DOCUMENTOS/PYK/2024/Estfros/Julio/Situacionfraint202407V1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tuacionfraint202410V1.xls" TargetMode="External"/><Relationship Id="rId1" Type="http://schemas.openxmlformats.org/officeDocument/2006/relationships/externalLinkPath" Target="file:///E:\Situacionfraint202410V1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Noviembre/Situacionfraint202411V1.xls" TargetMode="External"/><Relationship Id="rId1" Type="http://schemas.openxmlformats.org/officeDocument/2006/relationships/externalLinkPath" Target="Situacionfraint202411V1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Noviembre/EjecucionPptalPasiva%202024%2011.xls" TargetMode="External"/><Relationship Id="rId1" Type="http://schemas.openxmlformats.org/officeDocument/2006/relationships/externalLinkPath" Target="EjecucionPptalPasiva%202024%2011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Downloads\EjecucionPptalPasiva01%20(1).xls" TargetMode="External"/><Relationship Id="rId1" Type="http://schemas.openxmlformats.org/officeDocument/2006/relationships/externalLinkPath" Target="file:///C:\Users\Servidor\Downloads\EjecucionPptalPasiva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E9">
            <v>79753908</v>
          </cell>
        </row>
        <row r="25">
          <cell r="E25">
            <v>3505299</v>
          </cell>
        </row>
        <row r="39">
          <cell r="E39">
            <v>99619862.420000002</v>
          </cell>
        </row>
        <row r="175">
          <cell r="C175">
            <v>20255574.109999999</v>
          </cell>
          <cell r="E175">
            <v>16382954.67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>
            <v>85695189.340000004</v>
          </cell>
        </row>
        <row r="24">
          <cell r="C24">
            <v>795185.72</v>
          </cell>
          <cell r="D24">
            <v>3544935.34</v>
          </cell>
        </row>
        <row r="25">
          <cell r="D25">
            <v>3491616</v>
          </cell>
        </row>
        <row r="39">
          <cell r="D39">
            <v>97961217.640000001</v>
          </cell>
        </row>
        <row r="55">
          <cell r="C55">
            <v>1277029.6400000001</v>
          </cell>
          <cell r="D55">
            <v>6860322.6399999997</v>
          </cell>
        </row>
        <row r="130">
          <cell r="C130">
            <v>349904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F9">
            <v>74716769.890000001</v>
          </cell>
        </row>
        <row r="25">
          <cell r="F25">
            <v>3643137</v>
          </cell>
        </row>
        <row r="39">
          <cell r="F39">
            <v>106508725.89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401158426.21999997</v>
          </cell>
        </row>
      </sheetData>
      <sheetData sheetId="7"/>
      <sheetData sheetId="8"/>
      <sheetData sheetId="9"/>
      <sheetData sheetId="10" refreshError="1">
        <row r="9">
          <cell r="G9" t="str">
            <v>NUEVA EPS</v>
          </cell>
        </row>
        <row r="25">
          <cell r="G25" t="str">
            <v>NUEVA EPS</v>
          </cell>
        </row>
        <row r="39">
          <cell r="G39" t="str">
            <v>NUEVA EPS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03">
          <cell r="Q203">
            <v>600000</v>
          </cell>
        </row>
        <row r="228">
          <cell r="O228">
            <v>593000</v>
          </cell>
        </row>
        <row r="231">
          <cell r="O231">
            <v>634434</v>
          </cell>
        </row>
        <row r="234">
          <cell r="O234">
            <v>4758000</v>
          </cell>
        </row>
        <row r="275">
          <cell r="Q275">
            <v>118960</v>
          </cell>
        </row>
        <row r="276">
          <cell r="Q276">
            <v>794000</v>
          </cell>
        </row>
        <row r="281">
          <cell r="Q281">
            <v>5109000</v>
          </cell>
        </row>
        <row r="284">
          <cell r="Q284">
            <v>5451000</v>
          </cell>
        </row>
        <row r="285">
          <cell r="Q285">
            <v>703510</v>
          </cell>
        </row>
        <row r="289">
          <cell r="Q289">
            <v>8866000</v>
          </cell>
        </row>
        <row r="290">
          <cell r="Q290">
            <v>2429073</v>
          </cell>
        </row>
        <row r="294">
          <cell r="Q294">
            <v>1800000</v>
          </cell>
        </row>
        <row r="295">
          <cell r="Q295">
            <v>257345</v>
          </cell>
        </row>
        <row r="298">
          <cell r="Q298">
            <v>3478598</v>
          </cell>
        </row>
        <row r="398">
          <cell r="Q398">
            <v>705004</v>
          </cell>
        </row>
        <row r="399">
          <cell r="Q399">
            <v>1400000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31">
          <cell r="Q231">
            <v>1918811</v>
          </cell>
        </row>
        <row r="275">
          <cell r="Q275">
            <v>2067400</v>
          </cell>
        </row>
        <row r="276">
          <cell r="Q276">
            <v>794000</v>
          </cell>
        </row>
        <row r="278">
          <cell r="Q278">
            <v>602000</v>
          </cell>
        </row>
        <row r="279">
          <cell r="Q279">
            <v>2009690</v>
          </cell>
        </row>
        <row r="281">
          <cell r="Q281">
            <v>1080000</v>
          </cell>
        </row>
        <row r="282">
          <cell r="Q282">
            <v>2900000</v>
          </cell>
        </row>
        <row r="284">
          <cell r="Q284">
            <v>7994800</v>
          </cell>
        </row>
        <row r="285">
          <cell r="Q285">
            <v>610639</v>
          </cell>
        </row>
        <row r="287">
          <cell r="Q287">
            <v>1070000</v>
          </cell>
        </row>
        <row r="289">
          <cell r="Q289">
            <v>8866000</v>
          </cell>
        </row>
        <row r="290">
          <cell r="Q290">
            <v>2437120</v>
          </cell>
        </row>
        <row r="294">
          <cell r="Q294">
            <v>1800000</v>
          </cell>
        </row>
        <row r="295">
          <cell r="Q295">
            <v>257345</v>
          </cell>
        </row>
        <row r="398">
          <cell r="Q398">
            <v>1686820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6">
          <cell r="L6">
            <v>23497414.696837816</v>
          </cell>
          <cell r="M6">
            <v>23497414.696837816</v>
          </cell>
          <cell r="N6">
            <v>23497414.696837816</v>
          </cell>
          <cell r="P6">
            <v>23497414.696837816</v>
          </cell>
          <cell r="Q6">
            <v>23497414.696837816</v>
          </cell>
          <cell r="R6">
            <v>23497414.696837816</v>
          </cell>
          <cell r="S6">
            <v>24359387.483510818</v>
          </cell>
        </row>
        <row r="7">
          <cell r="L7">
            <v>69032447.25</v>
          </cell>
          <cell r="M7">
            <v>69032447.25</v>
          </cell>
          <cell r="N7">
            <v>69032447.25</v>
          </cell>
          <cell r="P7">
            <v>69032447.25</v>
          </cell>
          <cell r="Q7">
            <v>69032447.25</v>
          </cell>
          <cell r="R7">
            <v>69032447.25</v>
          </cell>
          <cell r="S7">
            <v>71564814.81871587</v>
          </cell>
        </row>
        <row r="8">
          <cell r="L8">
            <v>1500000</v>
          </cell>
          <cell r="M8">
            <v>1500000</v>
          </cell>
          <cell r="N8">
            <v>1500000</v>
          </cell>
          <cell r="P8">
            <v>1500000</v>
          </cell>
          <cell r="Q8">
            <v>1500000</v>
          </cell>
          <cell r="R8">
            <v>1500000</v>
          </cell>
          <cell r="S8">
            <v>1500000</v>
          </cell>
        </row>
        <row r="9">
          <cell r="L9">
            <v>66000</v>
          </cell>
          <cell r="M9">
            <v>66000</v>
          </cell>
          <cell r="N9">
            <v>66000</v>
          </cell>
          <cell r="P9">
            <v>66000</v>
          </cell>
          <cell r="Q9">
            <v>66000</v>
          </cell>
          <cell r="R9">
            <v>66000</v>
          </cell>
          <cell r="S9">
            <v>66000</v>
          </cell>
        </row>
        <row r="10">
          <cell r="L10">
            <v>80662092.893341199</v>
          </cell>
          <cell r="M10">
            <v>87150663.773341209</v>
          </cell>
          <cell r="N10">
            <v>93639234.653341204</v>
          </cell>
          <cell r="O10">
            <v>100127805.5333412</v>
          </cell>
          <cell r="P10">
            <v>106616376.41334119</v>
          </cell>
          <cell r="Q10">
            <v>113104947.2933412</v>
          </cell>
          <cell r="R10">
            <v>119593518.1733412</v>
          </cell>
          <cell r="S10">
            <v>123980654.35227481</v>
          </cell>
        </row>
        <row r="11">
          <cell r="L11">
            <v>283515.76220065932</v>
          </cell>
          <cell r="M11">
            <v>283515.76220065932</v>
          </cell>
          <cell r="N11">
            <v>283515.76220065932</v>
          </cell>
          <cell r="O11">
            <v>283515.76220065932</v>
          </cell>
          <cell r="P11">
            <v>283515.76220065932</v>
          </cell>
          <cell r="Q11">
            <v>283515.76220065932</v>
          </cell>
          <cell r="R11">
            <v>283515.76220065932</v>
          </cell>
          <cell r="S11">
            <v>293916.17751284735</v>
          </cell>
        </row>
        <row r="12">
          <cell r="L12">
            <v>480246.0874196685</v>
          </cell>
          <cell r="M12">
            <v>480246.0874196685</v>
          </cell>
          <cell r="N12">
            <v>480246.0874196685</v>
          </cell>
          <cell r="O12">
            <v>480246.0874196685</v>
          </cell>
          <cell r="P12">
            <v>480246.0874196685</v>
          </cell>
          <cell r="Q12">
            <v>480246.0874196685</v>
          </cell>
          <cell r="R12">
            <v>480246.0874196685</v>
          </cell>
          <cell r="S12">
            <v>497863.30461580743</v>
          </cell>
        </row>
        <row r="21">
          <cell r="P21">
            <v>7000000</v>
          </cell>
        </row>
        <row r="22">
          <cell r="P22">
            <v>24000000</v>
          </cell>
        </row>
        <row r="23">
          <cell r="P23">
            <v>25000000</v>
          </cell>
        </row>
        <row r="25">
          <cell r="P25">
            <v>4000000</v>
          </cell>
        </row>
        <row r="26">
          <cell r="P26">
            <v>6000000</v>
          </cell>
        </row>
        <row r="30">
          <cell r="P30">
            <v>30000000</v>
          </cell>
        </row>
        <row r="31">
          <cell r="P31">
            <v>3750000</v>
          </cell>
        </row>
        <row r="55">
          <cell r="O55">
            <v>19574000</v>
          </cell>
        </row>
        <row r="104">
          <cell r="P104">
            <v>5000000</v>
          </cell>
        </row>
        <row r="105">
          <cell r="P105">
            <v>12250000</v>
          </cell>
        </row>
        <row r="117">
          <cell r="Q117">
            <v>50000000</v>
          </cell>
        </row>
        <row r="119">
          <cell r="Q119">
            <v>1300000</v>
          </cell>
        </row>
        <row r="120">
          <cell r="Q120">
            <v>30000000</v>
          </cell>
        </row>
        <row r="121">
          <cell r="Q121">
            <v>2000000</v>
          </cell>
        </row>
        <row r="122">
          <cell r="Q122">
            <v>13900000</v>
          </cell>
        </row>
        <row r="123">
          <cell r="Q123">
            <v>13000000</v>
          </cell>
        </row>
        <row r="125">
          <cell r="Q125">
            <v>2000000</v>
          </cell>
        </row>
        <row r="127">
          <cell r="Q127">
            <v>2000000</v>
          </cell>
        </row>
        <row r="130">
          <cell r="Q130">
            <v>6500000</v>
          </cell>
        </row>
        <row r="132">
          <cell r="Q132">
            <v>1500000</v>
          </cell>
        </row>
        <row r="133">
          <cell r="Q133">
            <v>5656500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s"/>
      <sheetName val="Planeación 2024 P&amp;K Hoja de W"/>
      <sheetName val="Planeación 2024 P&amp;K"/>
      <sheetName val="Inver Estud Dis e Inter. "/>
      <sheetName val="Hoja1"/>
    </sheetNames>
    <sheetDataSet>
      <sheetData sheetId="0"/>
      <sheetData sheetId="1">
        <row r="10">
          <cell r="C10" t="str">
            <v>Cargo fijo alcantarillado</v>
          </cell>
        </row>
        <row r="11">
          <cell r="C11" t="str">
            <v>Cargo variable alcantarillado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22">
          <cell r="S22">
            <v>12000000</v>
          </cell>
        </row>
        <row r="24">
          <cell r="R24">
            <v>12000000</v>
          </cell>
        </row>
        <row r="28">
          <cell r="R28">
            <v>61000000</v>
          </cell>
        </row>
        <row r="51">
          <cell r="R51">
            <v>2044000</v>
          </cell>
        </row>
        <row r="54">
          <cell r="R54">
            <v>8200000</v>
          </cell>
        </row>
        <row r="56">
          <cell r="R56">
            <v>8000000</v>
          </cell>
        </row>
        <row r="59">
          <cell r="R59">
            <v>500000</v>
          </cell>
        </row>
        <row r="60">
          <cell r="R60">
            <v>4000000</v>
          </cell>
        </row>
        <row r="61">
          <cell r="R61">
            <v>1075000</v>
          </cell>
        </row>
        <row r="63">
          <cell r="R63">
            <v>11965000</v>
          </cell>
        </row>
        <row r="65">
          <cell r="R65">
            <v>3500000</v>
          </cell>
        </row>
        <row r="67">
          <cell r="R67">
            <v>3000000</v>
          </cell>
        </row>
        <row r="68">
          <cell r="R68">
            <v>13000000</v>
          </cell>
        </row>
        <row r="69">
          <cell r="R69">
            <v>6463000</v>
          </cell>
        </row>
        <row r="70">
          <cell r="R70">
            <v>4000000</v>
          </cell>
        </row>
        <row r="71">
          <cell r="R71">
            <v>4623000</v>
          </cell>
        </row>
        <row r="72">
          <cell r="R72">
            <v>3500000</v>
          </cell>
        </row>
        <row r="73">
          <cell r="R73">
            <v>3789200</v>
          </cell>
        </row>
        <row r="74">
          <cell r="R74">
            <v>500000</v>
          </cell>
        </row>
        <row r="76">
          <cell r="R76">
            <v>6000000</v>
          </cell>
        </row>
        <row r="77">
          <cell r="R77">
            <v>428500</v>
          </cell>
        </row>
        <row r="82">
          <cell r="R82">
            <v>3000000</v>
          </cell>
        </row>
        <row r="83">
          <cell r="R83">
            <v>2200000</v>
          </cell>
        </row>
        <row r="84">
          <cell r="R84">
            <v>600000</v>
          </cell>
        </row>
        <row r="85">
          <cell r="R85">
            <v>85000</v>
          </cell>
        </row>
        <row r="86">
          <cell r="R86">
            <v>180000</v>
          </cell>
        </row>
        <row r="87">
          <cell r="R87">
            <v>2100000</v>
          </cell>
        </row>
        <row r="106">
          <cell r="R106">
            <v>3000000</v>
          </cell>
        </row>
        <row r="117">
          <cell r="R117">
            <v>50000000</v>
          </cell>
        </row>
        <row r="118">
          <cell r="R118">
            <v>11700000</v>
          </cell>
        </row>
        <row r="119">
          <cell r="R119">
            <v>1300000</v>
          </cell>
        </row>
        <row r="122">
          <cell r="R122">
            <v>13900000</v>
          </cell>
        </row>
        <row r="125">
          <cell r="R125">
            <v>2000000</v>
          </cell>
        </row>
        <row r="126">
          <cell r="R126">
            <v>20000000</v>
          </cell>
        </row>
        <row r="127">
          <cell r="R127">
            <v>2000000</v>
          </cell>
        </row>
        <row r="130">
          <cell r="S130">
            <v>6500000</v>
          </cell>
        </row>
        <row r="131">
          <cell r="R131">
            <v>2000000</v>
          </cell>
        </row>
        <row r="132">
          <cell r="R132">
            <v>1140000</v>
          </cell>
        </row>
        <row r="133">
          <cell r="S133">
            <v>5656500</v>
          </cell>
        </row>
        <row r="156">
          <cell r="R156">
            <v>1250000</v>
          </cell>
        </row>
        <row r="157">
          <cell r="R157">
            <v>15930000</v>
          </cell>
        </row>
        <row r="158">
          <cell r="R158">
            <v>29599618</v>
          </cell>
        </row>
        <row r="159">
          <cell r="R159">
            <v>2000000</v>
          </cell>
        </row>
        <row r="160">
          <cell r="R160">
            <v>3500000</v>
          </cell>
        </row>
        <row r="161">
          <cell r="R161">
            <v>4000000</v>
          </cell>
        </row>
        <row r="162">
          <cell r="R162">
            <v>2600000</v>
          </cell>
        </row>
        <row r="163">
          <cell r="R163">
            <v>6820000</v>
          </cell>
        </row>
        <row r="177">
          <cell r="R177">
            <v>3254372.0833333335</v>
          </cell>
        </row>
        <row r="178">
          <cell r="R178">
            <v>1508333.3333333333</v>
          </cell>
        </row>
        <row r="179">
          <cell r="R179">
            <v>666666.66666666663</v>
          </cell>
        </row>
        <row r="186">
          <cell r="R186">
            <v>10000000</v>
          </cell>
        </row>
        <row r="189">
          <cell r="R189">
            <v>91650000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Hoja1"/>
    </sheetNames>
    <sheetDataSet>
      <sheetData sheetId="0">
        <row r="13">
          <cell r="U13">
            <v>210000000</v>
          </cell>
          <cell r="W13">
            <v>190000000</v>
          </cell>
        </row>
        <row r="21">
          <cell r="U21">
            <v>12000000</v>
          </cell>
          <cell r="V21">
            <v>12000000</v>
          </cell>
        </row>
        <row r="26">
          <cell r="U26">
            <v>10000000</v>
          </cell>
        </row>
        <row r="27">
          <cell r="T27">
            <v>61000000</v>
          </cell>
          <cell r="V27">
            <v>61000000</v>
          </cell>
        </row>
        <row r="28">
          <cell r="U28">
            <v>15000000</v>
          </cell>
          <cell r="V28">
            <v>15000000</v>
          </cell>
        </row>
        <row r="30">
          <cell r="T30">
            <v>3750000</v>
          </cell>
          <cell r="V30">
            <v>3750000</v>
          </cell>
        </row>
        <row r="31">
          <cell r="T31">
            <v>85000</v>
          </cell>
          <cell r="V31">
            <v>85000</v>
          </cell>
        </row>
        <row r="32">
          <cell r="T32">
            <v>180000</v>
          </cell>
          <cell r="V32">
            <v>180000</v>
          </cell>
        </row>
        <row r="33">
          <cell r="T33">
            <v>14000000</v>
          </cell>
          <cell r="V33">
            <v>14000000</v>
          </cell>
        </row>
        <row r="48">
          <cell r="U48">
            <v>2464000</v>
          </cell>
        </row>
        <row r="49">
          <cell r="U49">
            <v>16000000</v>
          </cell>
        </row>
        <row r="50">
          <cell r="U50">
            <v>2044000</v>
          </cell>
        </row>
        <row r="51">
          <cell r="U51">
            <v>250000</v>
          </cell>
        </row>
        <row r="52">
          <cell r="T52">
            <v>1091500</v>
          </cell>
          <cell r="U52">
            <v>1091500</v>
          </cell>
        </row>
        <row r="53">
          <cell r="T53">
            <v>8200000</v>
          </cell>
          <cell r="U53">
            <v>8200000</v>
          </cell>
        </row>
        <row r="54">
          <cell r="T54">
            <v>19574000</v>
          </cell>
        </row>
        <row r="55">
          <cell r="T55">
            <v>8000000</v>
          </cell>
          <cell r="U55">
            <v>8000000</v>
          </cell>
        </row>
        <row r="56">
          <cell r="V56">
            <v>7000000</v>
          </cell>
        </row>
        <row r="57">
          <cell r="T57">
            <v>5000000</v>
          </cell>
        </row>
        <row r="58">
          <cell r="U58">
            <v>500000</v>
          </cell>
        </row>
        <row r="59">
          <cell r="U59">
            <v>4000000</v>
          </cell>
        </row>
        <row r="60">
          <cell r="T60">
            <v>1075000</v>
          </cell>
          <cell r="U60">
            <v>1075000</v>
          </cell>
        </row>
        <row r="62">
          <cell r="T62">
            <v>11965000</v>
          </cell>
          <cell r="U62">
            <v>11965000</v>
          </cell>
        </row>
        <row r="64">
          <cell r="T64">
            <v>3500000</v>
          </cell>
          <cell r="U64">
            <v>3500000</v>
          </cell>
          <cell r="V64">
            <v>3500000</v>
          </cell>
        </row>
        <row r="65">
          <cell r="T65">
            <v>28000000</v>
          </cell>
        </row>
        <row r="66">
          <cell r="T66">
            <v>3000000</v>
          </cell>
          <cell r="V66">
            <v>3000000</v>
          </cell>
        </row>
        <row r="67">
          <cell r="T67">
            <v>13000000</v>
          </cell>
          <cell r="U67">
            <v>13000000</v>
          </cell>
        </row>
        <row r="68">
          <cell r="T68">
            <v>6463000</v>
          </cell>
          <cell r="U68">
            <v>6463000</v>
          </cell>
        </row>
        <row r="69">
          <cell r="U69">
            <v>0</v>
          </cell>
        </row>
        <row r="70">
          <cell r="T70">
            <v>3789200</v>
          </cell>
          <cell r="U70">
            <v>4623000</v>
          </cell>
        </row>
        <row r="71">
          <cell r="T71">
            <v>3500000</v>
          </cell>
          <cell r="U71">
            <v>3500000</v>
          </cell>
          <cell r="V71">
            <v>3500000</v>
          </cell>
        </row>
        <row r="72">
          <cell r="U72">
            <v>3789200</v>
          </cell>
        </row>
        <row r="73">
          <cell r="T73">
            <v>500000</v>
          </cell>
          <cell r="U73">
            <v>500000</v>
          </cell>
        </row>
        <row r="76">
          <cell r="T76">
            <v>428500</v>
          </cell>
          <cell r="U76">
            <v>428500</v>
          </cell>
          <cell r="V76">
            <v>428500</v>
          </cell>
        </row>
        <row r="77">
          <cell r="U77">
            <v>1000000</v>
          </cell>
        </row>
        <row r="78">
          <cell r="T78">
            <v>7500000</v>
          </cell>
          <cell r="V78">
            <v>7500000</v>
          </cell>
        </row>
        <row r="79">
          <cell r="T79">
            <v>1150000</v>
          </cell>
        </row>
        <row r="82">
          <cell r="T82">
            <v>2200000</v>
          </cell>
          <cell r="U82">
            <v>2200000</v>
          </cell>
        </row>
        <row r="83">
          <cell r="T83">
            <v>600000</v>
          </cell>
          <cell r="U83">
            <v>600000</v>
          </cell>
        </row>
        <row r="84">
          <cell r="T84">
            <v>85000</v>
          </cell>
          <cell r="U84">
            <v>85000</v>
          </cell>
        </row>
        <row r="85">
          <cell r="T85">
            <v>180000</v>
          </cell>
          <cell r="U85">
            <v>180000</v>
          </cell>
        </row>
        <row r="86">
          <cell r="T86">
            <v>2100000</v>
          </cell>
          <cell r="U86">
            <v>2100000</v>
          </cell>
        </row>
        <row r="88">
          <cell r="T88">
            <v>2680000</v>
          </cell>
        </row>
        <row r="89">
          <cell r="V89">
            <v>5000000</v>
          </cell>
        </row>
        <row r="90">
          <cell r="U90">
            <v>16250000</v>
          </cell>
        </row>
        <row r="116">
          <cell r="T116">
            <v>50500000</v>
          </cell>
          <cell r="U116">
            <v>50000000</v>
          </cell>
          <cell r="V116">
            <v>50000000</v>
          </cell>
        </row>
        <row r="117">
          <cell r="U117">
            <v>11700000</v>
          </cell>
        </row>
        <row r="118">
          <cell r="T118">
            <v>1000000</v>
          </cell>
          <cell r="U118">
            <v>1000000</v>
          </cell>
        </row>
        <row r="120">
          <cell r="U120">
            <v>2000000</v>
          </cell>
        </row>
        <row r="121">
          <cell r="T121">
            <v>13900000</v>
          </cell>
          <cell r="U121">
            <v>13900000</v>
          </cell>
          <cell r="V121">
            <v>13900000</v>
          </cell>
        </row>
        <row r="124">
          <cell r="T124">
            <v>2000000</v>
          </cell>
          <cell r="U124">
            <v>2000000</v>
          </cell>
          <cell r="V124">
            <v>2000000</v>
          </cell>
        </row>
        <row r="125">
          <cell r="U125">
            <v>20000000</v>
          </cell>
        </row>
        <row r="126">
          <cell r="T126">
            <v>2000000</v>
          </cell>
          <cell r="U126">
            <v>2000000</v>
          </cell>
          <cell r="V126">
            <v>2000000</v>
          </cell>
        </row>
        <row r="127">
          <cell r="V127">
            <v>10013808</v>
          </cell>
        </row>
        <row r="128">
          <cell r="T128">
            <v>6000000</v>
          </cell>
        </row>
        <row r="129">
          <cell r="T129">
            <v>6500000</v>
          </cell>
          <cell r="U129">
            <v>6500000</v>
          </cell>
        </row>
        <row r="132">
          <cell r="T132">
            <v>5656500</v>
          </cell>
          <cell r="U132">
            <v>5656500</v>
          </cell>
          <cell r="V132">
            <v>5656500</v>
          </cell>
        </row>
        <row r="136">
          <cell r="T136">
            <v>85000</v>
          </cell>
          <cell r="U136">
            <v>85000</v>
          </cell>
        </row>
        <row r="137">
          <cell r="T137">
            <v>180000</v>
          </cell>
          <cell r="U137">
            <v>180000</v>
          </cell>
        </row>
        <row r="138">
          <cell r="T138">
            <v>350000</v>
          </cell>
          <cell r="U138">
            <v>350000</v>
          </cell>
        </row>
        <row r="153">
          <cell r="T153">
            <v>5000000</v>
          </cell>
          <cell r="U153">
            <v>30000000</v>
          </cell>
          <cell r="V153">
            <v>14000000</v>
          </cell>
        </row>
        <row r="154">
          <cell r="U154">
            <v>0</v>
          </cell>
        </row>
        <row r="155">
          <cell r="T155">
            <v>1250000</v>
          </cell>
          <cell r="U155">
            <v>1250000</v>
          </cell>
        </row>
        <row r="156">
          <cell r="T156">
            <v>15930000</v>
          </cell>
          <cell r="U156">
            <v>15930000</v>
          </cell>
        </row>
        <row r="157">
          <cell r="T157">
            <v>7319300</v>
          </cell>
          <cell r="U157">
            <v>5867900</v>
          </cell>
        </row>
        <row r="158">
          <cell r="T158">
            <v>2000000</v>
          </cell>
          <cell r="V158">
            <v>2000000</v>
          </cell>
        </row>
        <row r="159">
          <cell r="T159">
            <v>3500000</v>
          </cell>
        </row>
        <row r="161">
          <cell r="T161">
            <v>2600000</v>
          </cell>
        </row>
        <row r="162">
          <cell r="T162">
            <v>6820000</v>
          </cell>
          <cell r="U162">
            <v>6820000</v>
          </cell>
        </row>
        <row r="164">
          <cell r="U164">
            <v>10000000</v>
          </cell>
        </row>
        <row r="176">
          <cell r="U176">
            <v>3254372.0833333335</v>
          </cell>
        </row>
        <row r="177">
          <cell r="U177">
            <v>1508333.3333333333</v>
          </cell>
        </row>
        <row r="178">
          <cell r="T178">
            <v>666666.66666666663</v>
          </cell>
          <cell r="U178">
            <v>666666.66666666663</v>
          </cell>
        </row>
        <row r="181">
          <cell r="U181">
            <v>2500000</v>
          </cell>
        </row>
        <row r="186">
          <cell r="U186">
            <v>1500000000</v>
          </cell>
        </row>
        <row r="187">
          <cell r="U187">
            <v>3000000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nna"/>
      <sheetName val="Resumen Dic 07"/>
      <sheetName val="Plan de inversiones P&amp;K"/>
      <sheetName val="Inversiones AFE"/>
    </sheetNames>
    <sheetDataSet>
      <sheetData sheetId="0">
        <row r="317">
          <cell r="X317">
            <v>0</v>
          </cell>
          <cell r="Y317">
            <v>0</v>
          </cell>
        </row>
        <row r="318">
          <cell r="W318">
            <v>0</v>
          </cell>
          <cell r="X318">
            <v>0</v>
          </cell>
          <cell r="Z318">
            <v>0</v>
          </cell>
        </row>
        <row r="326">
          <cell r="Y326">
            <v>0</v>
          </cell>
        </row>
        <row r="342"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Y343">
            <v>0</v>
          </cell>
          <cell r="Z343">
            <v>0</v>
          </cell>
        </row>
        <row r="348"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</row>
        <row r="363">
          <cell r="U363">
            <v>0</v>
          </cell>
          <cell r="Y363">
            <v>0</v>
          </cell>
          <cell r="Z363">
            <v>0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02M"/>
      <sheetName val="202401anual"/>
      <sheetName val="2024Ej"/>
      <sheetName val="202301"/>
    </sheetNames>
    <sheetDataSet>
      <sheetData sheetId="0"/>
      <sheetData sheetId="1">
        <row r="147">
          <cell r="C147">
            <v>593971271.37071896</v>
          </cell>
          <cell r="D147">
            <v>1282806684.7414379</v>
          </cell>
          <cell r="E147">
            <v>1825275149.2311568</v>
          </cell>
          <cell r="F147">
            <v>2271612247.0542092</v>
          </cell>
          <cell r="G147">
            <v>3020240251.7105951</v>
          </cell>
          <cell r="H147">
            <v>3751370656.366981</v>
          </cell>
          <cell r="I147">
            <v>4658391579.0233669</v>
          </cell>
          <cell r="J147">
            <v>5449407383.6833076</v>
          </cell>
          <cell r="K147">
            <v>7842356588.3432484</v>
          </cell>
        </row>
      </sheetData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>
        <row r="9">
          <cell r="G9">
            <v>80140441.769999996</v>
          </cell>
        </row>
        <row r="26">
          <cell r="G26">
            <v>-911114.23</v>
          </cell>
        </row>
        <row r="27">
          <cell r="G27">
            <v>3907395</v>
          </cell>
        </row>
        <row r="41">
          <cell r="G41">
            <v>93172434.039999992</v>
          </cell>
        </row>
        <row r="59">
          <cell r="G59">
            <v>1171071.04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H9">
            <v>76453889</v>
          </cell>
        </row>
        <row r="27">
          <cell r="H27">
            <v>3938549.43</v>
          </cell>
        </row>
        <row r="40">
          <cell r="H40">
            <v>0.43</v>
          </cell>
        </row>
        <row r="41">
          <cell r="H41">
            <v>97179847.640000001</v>
          </cell>
        </row>
        <row r="59">
          <cell r="H59">
            <v>994440.64</v>
          </cell>
        </row>
      </sheetData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>
        <row r="38">
          <cell r="C38">
            <v>3405047518.1100001</v>
          </cell>
        </row>
      </sheetData>
      <sheetData sheetId="4">
        <row r="9">
          <cell r="I9">
            <v>76942178</v>
          </cell>
        </row>
        <row r="27">
          <cell r="I27">
            <v>3916748</v>
          </cell>
        </row>
        <row r="41">
          <cell r="I41">
            <v>101717804.90000001</v>
          </cell>
        </row>
        <row r="59">
          <cell r="I59">
            <v>4533543.9000000004</v>
          </cell>
        </row>
      </sheetData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L9">
            <v>64014865</v>
          </cell>
        </row>
        <row r="27">
          <cell r="L27">
            <v>3249672</v>
          </cell>
        </row>
        <row r="41">
          <cell r="L41">
            <v>101546778.91</v>
          </cell>
        </row>
      </sheetData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M9">
            <v>71009046.379999995</v>
          </cell>
        </row>
        <row r="26">
          <cell r="M26">
            <v>0.38</v>
          </cell>
        </row>
        <row r="27">
          <cell r="M27">
            <v>3983591</v>
          </cell>
        </row>
        <row r="41">
          <cell r="M41">
            <v>95975628.340000004</v>
          </cell>
        </row>
        <row r="59">
          <cell r="M59">
            <v>2318691.34</v>
          </cell>
        </row>
      </sheetData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85">
          <cell r="Q85">
            <v>6370418</v>
          </cell>
        </row>
        <row r="100">
          <cell r="Q100">
            <v>2810900</v>
          </cell>
        </row>
        <row r="101">
          <cell r="Q101">
            <v>1831521</v>
          </cell>
        </row>
        <row r="116">
          <cell r="Q116">
            <v>6508180</v>
          </cell>
        </row>
        <row r="117">
          <cell r="Q117">
            <v>520000</v>
          </cell>
        </row>
        <row r="119">
          <cell r="Q119">
            <v>250000</v>
          </cell>
        </row>
        <row r="120">
          <cell r="Q120">
            <v>833137</v>
          </cell>
        </row>
        <row r="123">
          <cell r="Q123">
            <v>14751960</v>
          </cell>
        </row>
        <row r="124">
          <cell r="Q124">
            <v>3895743</v>
          </cell>
        </row>
        <row r="126">
          <cell r="Q126">
            <v>11021600</v>
          </cell>
        </row>
        <row r="129">
          <cell r="Q129">
            <v>615000</v>
          </cell>
        </row>
        <row r="132">
          <cell r="Q132">
            <v>1935693</v>
          </cell>
        </row>
        <row r="254">
          <cell r="Q254">
            <v>50588791</v>
          </cell>
        </row>
        <row r="260">
          <cell r="Q260">
            <v>13762550</v>
          </cell>
        </row>
        <row r="267">
          <cell r="Q267">
            <v>33191442</v>
          </cell>
        </row>
        <row r="271">
          <cell r="Q271">
            <v>976354</v>
          </cell>
        </row>
        <row r="274">
          <cell r="Q274">
            <v>3861000</v>
          </cell>
        </row>
        <row r="287">
          <cell r="Q287">
            <v>2841339</v>
          </cell>
        </row>
        <row r="291">
          <cell r="Q291">
            <v>8840000</v>
          </cell>
        </row>
        <row r="294">
          <cell r="Q294">
            <v>2647064</v>
          </cell>
        </row>
        <row r="298">
          <cell r="Q298">
            <v>4707103</v>
          </cell>
        </row>
        <row r="317">
          <cell r="Q317">
            <v>347953</v>
          </cell>
        </row>
        <row r="321">
          <cell r="Q321">
            <v>13865100</v>
          </cell>
        </row>
        <row r="322">
          <cell r="Q322">
            <v>1720000</v>
          </cell>
        </row>
        <row r="326">
          <cell r="Q326">
            <v>8197500</v>
          </cell>
        </row>
        <row r="329">
          <cell r="Q329">
            <v>11250000</v>
          </cell>
        </row>
        <row r="363">
          <cell r="Q363">
            <v>2000000</v>
          </cell>
        </row>
        <row r="365">
          <cell r="Q365">
            <v>3506600</v>
          </cell>
        </row>
        <row r="368">
          <cell r="Q368">
            <v>2236167</v>
          </cell>
        </row>
        <row r="371">
          <cell r="Q371">
            <v>4600000</v>
          </cell>
        </row>
        <row r="372">
          <cell r="Q372">
            <v>5382200</v>
          </cell>
        </row>
        <row r="378">
          <cell r="Q378">
            <v>10623100</v>
          </cell>
        </row>
        <row r="382">
          <cell r="Q382">
            <v>749798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1">
          <cell r="S11">
            <v>308530151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7CE-CB2C-46D3-B3DD-89A8F02A2D93}">
  <sheetPr>
    <tabColor rgb="FFFFC000"/>
  </sheetPr>
  <dimension ref="A1:AO104"/>
  <sheetViews>
    <sheetView showGridLines="0" zoomScale="86" zoomScaleNormal="86" workbookViewId="0">
      <pane xSplit="1" ySplit="5" topLeftCell="O24" activePane="bottomRight" state="frozen"/>
      <selection pane="topRight" activeCell="B1" sqref="B1"/>
      <selection pane="bottomLeft" activeCell="A5" sqref="A5"/>
      <selection pane="bottomRight" activeCell="P26" sqref="P26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8" width="15.5703125" customWidth="1"/>
    <col min="9" max="11" width="16.7109375" customWidth="1"/>
    <col min="12" max="20" width="16.140625" customWidth="1"/>
    <col min="21" max="21" width="16.140625" hidden="1" customWidth="1"/>
    <col min="22" max="25" width="16.7109375" hidden="1" customWidth="1"/>
    <col min="26" max="26" width="16.140625" hidden="1" customWidth="1"/>
    <col min="27" max="28" width="16.140625" customWidth="1"/>
    <col min="29" max="29" width="18.42578125" bestFit="1" customWidth="1"/>
    <col min="30" max="30" width="9.5703125" bestFit="1" customWidth="1"/>
    <col min="31" max="31" width="18.42578125" bestFit="1" customWidth="1"/>
    <col min="32" max="32" width="15.85546875" bestFit="1" customWidth="1"/>
    <col min="33" max="33" width="15.85546875" customWidth="1"/>
    <col min="34" max="34" width="15.5703125" customWidth="1"/>
    <col min="35" max="35" width="17.28515625" customWidth="1"/>
    <col min="36" max="36" width="18.42578125" customWidth="1"/>
    <col min="37" max="39" width="15.5703125" customWidth="1"/>
    <col min="40" max="41" width="14" customWidth="1"/>
    <col min="42" max="42" width="11.42578125" customWidth="1"/>
  </cols>
  <sheetData>
    <row r="1" spans="1:41" x14ac:dyDescent="0.25">
      <c r="A1" s="127" t="s">
        <v>51</v>
      </c>
      <c r="B1" s="127"/>
      <c r="C1" s="127"/>
      <c r="D1" s="14"/>
      <c r="E1" s="14"/>
    </row>
    <row r="2" spans="1:41" x14ac:dyDescent="0.25">
      <c r="A2" s="14"/>
      <c r="B2" s="14"/>
      <c r="C2" s="14"/>
      <c r="D2" s="14"/>
      <c r="E2" s="14"/>
    </row>
    <row r="3" spans="1:41" ht="15.75" thickBot="1" x14ac:dyDescent="0.3">
      <c r="A3" s="128" t="s">
        <v>64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23"/>
      <c r="AF3" s="23"/>
      <c r="AG3" s="23"/>
    </row>
    <row r="4" spans="1:41" ht="15.75" thickBot="1" x14ac:dyDescent="0.3">
      <c r="A4" s="23"/>
      <c r="B4" s="23"/>
      <c r="C4" s="129" t="s">
        <v>105</v>
      </c>
      <c r="D4" s="130"/>
      <c r="E4" s="131"/>
      <c r="F4" s="129" t="s">
        <v>107</v>
      </c>
      <c r="G4" s="130"/>
      <c r="H4" s="131"/>
      <c r="I4" s="129" t="s">
        <v>109</v>
      </c>
      <c r="J4" s="130"/>
      <c r="K4" s="131"/>
      <c r="L4" s="129" t="s">
        <v>112</v>
      </c>
      <c r="M4" s="130"/>
      <c r="N4" s="131"/>
      <c r="O4" s="129" t="s">
        <v>113</v>
      </c>
      <c r="P4" s="130"/>
      <c r="Q4" s="131"/>
      <c r="R4" s="129" t="s">
        <v>115</v>
      </c>
      <c r="S4" s="130"/>
      <c r="T4" s="131"/>
      <c r="U4" s="23"/>
      <c r="V4" s="23"/>
      <c r="W4" s="23"/>
      <c r="X4" s="23"/>
      <c r="Y4" s="23"/>
      <c r="Z4" s="23"/>
      <c r="AA4" s="132" t="s">
        <v>48</v>
      </c>
      <c r="AB4" s="133"/>
      <c r="AC4" s="133"/>
      <c r="AD4" s="134"/>
      <c r="AE4" s="23"/>
      <c r="AF4" s="23"/>
      <c r="AG4" s="23"/>
    </row>
    <row r="5" spans="1:41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45</v>
      </c>
      <c r="W5" s="17" t="s">
        <v>46</v>
      </c>
      <c r="X5" s="17" t="s">
        <v>47</v>
      </c>
      <c r="Y5" s="17" t="s">
        <v>4</v>
      </c>
      <c r="Z5" s="17" t="s">
        <v>3</v>
      </c>
      <c r="AA5" s="28" t="s">
        <v>102</v>
      </c>
      <c r="AB5" s="28" t="s">
        <v>103</v>
      </c>
      <c r="AC5" s="28" t="s">
        <v>104</v>
      </c>
      <c r="AD5" s="18" t="s">
        <v>49</v>
      </c>
      <c r="AE5" s="33"/>
      <c r="AF5" s="33"/>
      <c r="AG5" s="33"/>
    </row>
    <row r="6" spans="1:41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>
        <v>0</v>
      </c>
      <c r="G6" s="4">
        <v>0</v>
      </c>
      <c r="H6" s="4">
        <f t="shared" ref="H6:H19" si="0">+F6-G6</f>
        <v>0</v>
      </c>
      <c r="I6" s="4">
        <f>+'202401anual'!E6</f>
        <v>23497414.696837816</v>
      </c>
      <c r="J6" s="4">
        <v>0</v>
      </c>
      <c r="K6" s="4">
        <f t="shared" ref="K6:K22" si="1">+I6-J6</f>
        <v>23497414.696837816</v>
      </c>
      <c r="L6" s="4">
        <f>+'202401anual'!F6</f>
        <v>23497414.696837816</v>
      </c>
      <c r="M6" s="4">
        <f>6656089.59-1858002.8</f>
        <v>4798086.79</v>
      </c>
      <c r="N6" s="4">
        <f t="shared" ref="N6:N11" si="2">+L6-M6</f>
        <v>18699327.906837817</v>
      </c>
      <c r="O6" s="4">
        <f>+'202401anual'!G6</f>
        <v>23497414.696837816</v>
      </c>
      <c r="P6" s="4">
        <f>41573.83-16871.76+11161757.15-3147286.65+365554.54-96309.64</f>
        <v>8308417.4699999997</v>
      </c>
      <c r="Q6" s="4">
        <f t="shared" ref="Q6:Q11" si="3">+O6-P6</f>
        <v>15188997.226837818</v>
      </c>
      <c r="R6" s="4">
        <f>+'202401anual'!H6</f>
        <v>23497414.696837816</v>
      </c>
      <c r="S6" s="4"/>
      <c r="T6" s="4">
        <f t="shared" ref="T6:T11" si="4">+R6-S6</f>
        <v>23497414.696837816</v>
      </c>
      <c r="U6" s="4"/>
      <c r="V6" s="4"/>
      <c r="W6" s="4"/>
      <c r="X6" s="4"/>
      <c r="Y6" s="4"/>
      <c r="Z6" s="4"/>
      <c r="AA6" s="4">
        <f>+C6+F6+I6+L6+O6+R6</f>
        <v>93989658.787351266</v>
      </c>
      <c r="AB6" s="4">
        <f>+D6+G6+J6+M6+P6+S6</f>
        <v>13106504.26</v>
      </c>
      <c r="AC6" s="4">
        <f t="shared" ref="AC6:AC11" si="5">+AA6-AB6</f>
        <v>80883154.52735126</v>
      </c>
      <c r="AD6" s="43">
        <f>+AC6/AA6</f>
        <v>0.86055376273199302</v>
      </c>
      <c r="AE6" s="34"/>
      <c r="AF6" s="34"/>
      <c r="AG6" s="34"/>
      <c r="AH6" s="2"/>
      <c r="AI6" s="2"/>
    </row>
    <row r="7" spans="1:41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6">+C7-D7</f>
        <v>0</v>
      </c>
      <c r="F7" s="4">
        <v>0</v>
      </c>
      <c r="G7" s="4">
        <v>0</v>
      </c>
      <c r="H7" s="4">
        <f t="shared" si="0"/>
        <v>0</v>
      </c>
      <c r="I7" s="4">
        <f>+'202401anual'!E7</f>
        <v>69032447.25</v>
      </c>
      <c r="J7" s="4">
        <v>0</v>
      </c>
      <c r="K7" s="4">
        <f t="shared" si="1"/>
        <v>69032447.25</v>
      </c>
      <c r="L7" s="4">
        <f>+'202401anual'!F7</f>
        <v>69032447.25</v>
      </c>
      <c r="M7" s="4">
        <f>8880801.04-1355094.16</f>
        <v>7525706.879999999</v>
      </c>
      <c r="N7" s="4">
        <f t="shared" si="2"/>
        <v>61506740.370000005</v>
      </c>
      <c r="O7" s="4">
        <f>+'202401anual'!G7</f>
        <v>69032447.25</v>
      </c>
      <c r="P7" s="4">
        <f>84673.96-18192.96+20293885.7-3331592.73+1132560-166295.4</f>
        <v>17995038.57</v>
      </c>
      <c r="Q7" s="4">
        <f t="shared" si="3"/>
        <v>51037408.68</v>
      </c>
      <c r="R7" s="4">
        <f>+'202401anual'!H7</f>
        <v>69032447.25</v>
      </c>
      <c r="S7" s="4"/>
      <c r="T7" s="4">
        <f t="shared" si="4"/>
        <v>69032447.25</v>
      </c>
      <c r="U7" s="4"/>
      <c r="V7" s="4"/>
      <c r="W7" s="4"/>
      <c r="X7" s="4"/>
      <c r="Y7" s="4"/>
      <c r="Z7" s="4"/>
      <c r="AA7" s="4">
        <f t="shared" ref="AA7:AB11" si="7">+C7+F7+I7+L7+O7+R7</f>
        <v>276129789</v>
      </c>
      <c r="AB7" s="4">
        <f t="shared" si="7"/>
        <v>25520745.449999999</v>
      </c>
      <c r="AC7" s="4">
        <f t="shared" si="5"/>
        <v>250609043.55000001</v>
      </c>
      <c r="AD7" s="43">
        <f>+AC7/AA7</f>
        <v>0.90757699289735094</v>
      </c>
      <c r="AE7" s="34"/>
      <c r="AF7" s="34"/>
      <c r="AG7" s="34"/>
      <c r="AH7" s="2"/>
      <c r="AI7" s="2"/>
    </row>
    <row r="8" spans="1:41" x14ac:dyDescent="0.25">
      <c r="A8" s="5" t="s">
        <v>114</v>
      </c>
      <c r="B8" s="4">
        <v>1460371848</v>
      </c>
      <c r="C8" s="4">
        <v>0</v>
      </c>
      <c r="D8" s="4">
        <v>0</v>
      </c>
      <c r="E8" s="4">
        <f t="shared" si="6"/>
        <v>0</v>
      </c>
      <c r="F8" s="4">
        <v>0</v>
      </c>
      <c r="G8" s="4">
        <v>0</v>
      </c>
      <c r="H8" s="4">
        <f t="shared" si="0"/>
        <v>0</v>
      </c>
      <c r="I8" s="4">
        <f>+'202401anual'!E8</f>
        <v>1500000</v>
      </c>
      <c r="J8" s="4">
        <v>1000210</v>
      </c>
      <c r="K8" s="4">
        <f t="shared" si="1"/>
        <v>499790</v>
      </c>
      <c r="L8" s="4">
        <f>+'202401anual'!F8</f>
        <v>1500000</v>
      </c>
      <c r="M8" s="4">
        <v>2529667</v>
      </c>
      <c r="N8" s="4">
        <f t="shared" si="2"/>
        <v>-1029667</v>
      </c>
      <c r="O8" s="4">
        <f>+'202401anual'!G8</f>
        <v>1500000</v>
      </c>
      <c r="P8" s="4">
        <f>3331955.26+166683</f>
        <v>3498638.26</v>
      </c>
      <c r="Q8" s="4">
        <f t="shared" si="3"/>
        <v>-1998638.2599999998</v>
      </c>
      <c r="R8" s="4">
        <f>+'202401anual'!H8</f>
        <v>1500000</v>
      </c>
      <c r="S8" s="4"/>
      <c r="T8" s="4">
        <f t="shared" si="4"/>
        <v>1500000</v>
      </c>
      <c r="U8" s="4"/>
      <c r="V8" s="4"/>
      <c r="W8" s="4"/>
      <c r="X8" s="4"/>
      <c r="Y8" s="4"/>
      <c r="Z8" s="4"/>
      <c r="AA8" s="4">
        <f t="shared" si="7"/>
        <v>6000000</v>
      </c>
      <c r="AB8" s="4">
        <f t="shared" si="7"/>
        <v>7028515.2599999998</v>
      </c>
      <c r="AC8" s="4">
        <f t="shared" si="5"/>
        <v>-1028515.2599999998</v>
      </c>
      <c r="AD8" s="43">
        <f>+AC8/AA8</f>
        <v>-0.17141920999999996</v>
      </c>
      <c r="AE8" s="34"/>
      <c r="AF8" s="34"/>
      <c r="AG8" s="34"/>
      <c r="AH8" s="2"/>
      <c r="AI8" s="2"/>
    </row>
    <row r="9" spans="1:41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6"/>
        <v>-3018397.3100000024</v>
      </c>
      <c r="F9" s="4">
        <v>32000000</v>
      </c>
      <c r="G9" s="4">
        <v>22235664</v>
      </c>
      <c r="H9" s="4">
        <f t="shared" si="0"/>
        <v>9764336</v>
      </c>
      <c r="I9" s="4">
        <f>+'202401anual'!E10</f>
        <v>93639234.653341204</v>
      </c>
      <c r="J9" s="4">
        <f>23782524.8+499828.7</f>
        <v>24282353.5</v>
      </c>
      <c r="K9" s="4">
        <f t="shared" si="1"/>
        <v>69356881.153341204</v>
      </c>
      <c r="L9" s="4">
        <f>+'202401anual'!F10</f>
        <v>100127805.5333412</v>
      </c>
      <c r="M9" s="4">
        <f>31917625-14853460.67-90490.51</f>
        <v>16973673.819999997</v>
      </c>
      <c r="N9" s="4">
        <f t="shared" si="2"/>
        <v>83154131.713341206</v>
      </c>
      <c r="O9" s="4">
        <f>+'202401anual'!G10</f>
        <v>106616376.41334119</v>
      </c>
      <c r="P9" s="4">
        <f>24478075.71-863600</f>
        <v>23614475.710000001</v>
      </c>
      <c r="Q9" s="4">
        <f t="shared" si="3"/>
        <v>83001900.703341186</v>
      </c>
      <c r="R9" s="4">
        <f>+'202401anual'!H10</f>
        <v>113104947.2933412</v>
      </c>
      <c r="S9" s="4"/>
      <c r="T9" s="4">
        <f t="shared" si="4"/>
        <v>113104947.2933412</v>
      </c>
      <c r="U9" s="4"/>
      <c r="V9" s="4"/>
      <c r="W9" s="4"/>
      <c r="X9" s="4"/>
      <c r="Y9" s="4"/>
      <c r="Z9" s="4"/>
      <c r="AA9" s="4">
        <f t="shared" si="7"/>
        <v>477488363.89336485</v>
      </c>
      <c r="AB9" s="4">
        <f t="shared" si="7"/>
        <v>122124564.34</v>
      </c>
      <c r="AC9" s="4">
        <f t="shared" si="5"/>
        <v>355363799.55336487</v>
      </c>
      <c r="AD9" s="43">
        <f>+AC9/AA9</f>
        <v>0.7442355173972921</v>
      </c>
      <c r="AE9" s="34"/>
      <c r="AF9" s="34"/>
      <c r="AG9" s="34"/>
      <c r="AH9" s="2"/>
      <c r="AI9" s="2"/>
    </row>
    <row r="10" spans="1:41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6"/>
        <v>0</v>
      </c>
      <c r="F10" s="4">
        <v>0</v>
      </c>
      <c r="G10" s="4">
        <v>4211013</v>
      </c>
      <c r="H10" s="4">
        <f t="shared" si="0"/>
        <v>-4211013</v>
      </c>
      <c r="I10" s="4">
        <f>+'202401anual'!E11</f>
        <v>283515.76220065932</v>
      </c>
      <c r="J10" s="4">
        <f>+[1]Resultados2023!$E$175+[1]Resultados2023!$C$175</f>
        <v>36638528.780000001</v>
      </c>
      <c r="K10" s="4">
        <f t="shared" si="1"/>
        <v>-36355013.01779934</v>
      </c>
      <c r="L10" s="4">
        <f>+'202401anual'!F11</f>
        <v>283515.76220065932</v>
      </c>
      <c r="M10" s="4">
        <v>3592200</v>
      </c>
      <c r="N10" s="4">
        <f t="shared" si="2"/>
        <v>-3308684.2377993409</v>
      </c>
      <c r="O10" s="4">
        <f>+'202401anual'!G11</f>
        <v>283515.76220065932</v>
      </c>
      <c r="P10" s="4">
        <v>1967700</v>
      </c>
      <c r="Q10" s="4">
        <f t="shared" si="3"/>
        <v>-1684184.2377993406</v>
      </c>
      <c r="R10" s="4">
        <f>+'202401anual'!H11</f>
        <v>283515.76220065932</v>
      </c>
      <c r="S10" s="4"/>
      <c r="T10" s="4">
        <f t="shared" si="4"/>
        <v>283515.76220065932</v>
      </c>
      <c r="U10" s="4"/>
      <c r="V10" s="4"/>
      <c r="W10" s="4"/>
      <c r="X10" s="4"/>
      <c r="Y10" s="4"/>
      <c r="Z10" s="4"/>
      <c r="AA10" s="4">
        <f t="shared" si="7"/>
        <v>1134063.0488026373</v>
      </c>
      <c r="AB10" s="4">
        <f t="shared" si="7"/>
        <v>46409441.780000001</v>
      </c>
      <c r="AC10" s="4">
        <f t="shared" si="5"/>
        <v>-45275378.731197365</v>
      </c>
      <c r="AD10" s="43">
        <f t="shared" ref="AD10:AD22" si="8">+AC10/AA10</f>
        <v>-39.923158398468118</v>
      </c>
      <c r="AE10" s="34"/>
      <c r="AF10" s="34"/>
      <c r="AG10" s="34"/>
      <c r="AH10" s="2"/>
      <c r="AI10" s="2"/>
    </row>
    <row r="11" spans="1:41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6"/>
        <v>348992350</v>
      </c>
      <c r="F11" s="4">
        <v>348992350</v>
      </c>
      <c r="G11" s="4">
        <v>7315123</v>
      </c>
      <c r="H11" s="4">
        <f t="shared" si="0"/>
        <v>341677227</v>
      </c>
      <c r="I11" s="4">
        <f>+'202401anual'!E13</f>
        <v>2500000000</v>
      </c>
      <c r="J11" s="4">
        <v>6429362</v>
      </c>
      <c r="K11" s="4">
        <f t="shared" si="1"/>
        <v>2493570638</v>
      </c>
      <c r="L11" s="4">
        <f>+'202401anual'!F13</f>
        <v>0</v>
      </c>
      <c r="M11" s="4">
        <v>0</v>
      </c>
      <c r="N11" s="4">
        <f t="shared" si="2"/>
        <v>0</v>
      </c>
      <c r="O11" s="4">
        <f>+'202401anual'!G13</f>
        <v>0</v>
      </c>
      <c r="P11" s="4">
        <v>0</v>
      </c>
      <c r="Q11" s="4">
        <f t="shared" si="3"/>
        <v>0</v>
      </c>
      <c r="R11" s="4">
        <f>+'202401anual'!H13</f>
        <v>0</v>
      </c>
      <c r="S11" s="4">
        <v>0</v>
      </c>
      <c r="T11" s="4">
        <f t="shared" si="4"/>
        <v>0</v>
      </c>
      <c r="U11" s="4"/>
      <c r="V11" s="4"/>
      <c r="W11" s="4"/>
      <c r="X11" s="4"/>
      <c r="Y11" s="4"/>
      <c r="Z11" s="4"/>
      <c r="AA11" s="4">
        <f t="shared" si="7"/>
        <v>3197984700</v>
      </c>
      <c r="AB11" s="4">
        <f t="shared" si="7"/>
        <v>13744485</v>
      </c>
      <c r="AC11" s="4">
        <f t="shared" si="5"/>
        <v>3184240215</v>
      </c>
      <c r="AD11" s="43">
        <f t="shared" si="8"/>
        <v>0.99570214172694449</v>
      </c>
      <c r="AE11" s="34"/>
      <c r="AF11" s="34"/>
      <c r="AG11" s="34"/>
      <c r="AH11" s="2"/>
      <c r="AI11" s="2"/>
    </row>
    <row r="12" spans="1:41" ht="18.75" x14ac:dyDescent="0.3">
      <c r="A12" s="11" t="s">
        <v>2</v>
      </c>
      <c r="B12" s="7">
        <f>SUM(B6:B11)</f>
        <v>4434002006.0472546</v>
      </c>
      <c r="C12" s="7">
        <f t="shared" ref="C12:AC12" si="9">SUM(C6:C11)</f>
        <v>380992350</v>
      </c>
      <c r="D12" s="7">
        <f t="shared" si="9"/>
        <v>35018397.310000002</v>
      </c>
      <c r="E12" s="7">
        <f t="shared" si="9"/>
        <v>345973952.69</v>
      </c>
      <c r="F12" s="7">
        <f>SUM(F6:F11)</f>
        <v>380992350</v>
      </c>
      <c r="G12" s="7">
        <f>SUM(G6:G11)</f>
        <v>33761800</v>
      </c>
      <c r="H12" s="7">
        <f>SUM(H6:H11)</f>
        <v>347230550</v>
      </c>
      <c r="I12" s="7">
        <f t="shared" si="9"/>
        <v>2687952612.3623796</v>
      </c>
      <c r="J12" s="7">
        <f t="shared" si="9"/>
        <v>68350454.280000001</v>
      </c>
      <c r="K12" s="7">
        <f t="shared" si="9"/>
        <v>2619602158.0823798</v>
      </c>
      <c r="L12" s="7">
        <f>SUM(L6:L11)</f>
        <v>194441183.24237967</v>
      </c>
      <c r="M12" s="7">
        <f>SUM(M6:M11)</f>
        <v>35419334.489999995</v>
      </c>
      <c r="N12" s="7">
        <f>SUM(N6:N11)</f>
        <v>159021848.75237969</v>
      </c>
      <c r="O12" s="7">
        <f t="shared" si="9"/>
        <v>200929754.12237966</v>
      </c>
      <c r="P12" s="7">
        <f t="shared" si="9"/>
        <v>55384270.009999998</v>
      </c>
      <c r="Q12" s="7">
        <f t="shared" si="9"/>
        <v>145545484.11237967</v>
      </c>
      <c r="R12" s="7">
        <f t="shared" si="9"/>
        <v>207418325.00237966</v>
      </c>
      <c r="S12" s="7">
        <f t="shared" si="9"/>
        <v>0</v>
      </c>
      <c r="T12" s="7">
        <f t="shared" si="9"/>
        <v>207418325.00237966</v>
      </c>
      <c r="U12" s="7">
        <f t="shared" si="9"/>
        <v>0</v>
      </c>
      <c r="V12" s="7">
        <f t="shared" si="9"/>
        <v>0</v>
      </c>
      <c r="W12" s="7">
        <f t="shared" si="9"/>
        <v>0</v>
      </c>
      <c r="X12" s="7">
        <f t="shared" si="9"/>
        <v>0</v>
      </c>
      <c r="Y12" s="7">
        <f t="shared" si="9"/>
        <v>0</v>
      </c>
      <c r="Z12" s="7">
        <f t="shared" si="9"/>
        <v>0</v>
      </c>
      <c r="AA12" s="7">
        <f t="shared" si="9"/>
        <v>4052726574.7295189</v>
      </c>
      <c r="AB12" s="7">
        <f>SUM(AB6:AB11)</f>
        <v>227934256.09</v>
      </c>
      <c r="AC12" s="7">
        <f t="shared" si="9"/>
        <v>3824792318.6395187</v>
      </c>
      <c r="AD12" s="31">
        <f t="shared" si="8"/>
        <v>0.94375780060977521</v>
      </c>
      <c r="AE12" s="34"/>
      <c r="AF12" s="35"/>
      <c r="AG12" s="35"/>
      <c r="AH12" s="2"/>
      <c r="AI12" s="2"/>
    </row>
    <row r="13" spans="1:41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6"/>
        <v>-12906933.38986592</v>
      </c>
      <c r="F13" s="4">
        <f>+'202401anual'!D15</f>
        <v>81283194</v>
      </c>
      <c r="G13" s="4">
        <f>+[2]Resultados2023!$D$9-[2]Resultados2023!$D$24-[2]Resultados2023!$C$24</f>
        <v>81355068.280000001</v>
      </c>
      <c r="H13" s="4">
        <f t="shared" si="0"/>
        <v>-71874.280000001192</v>
      </c>
      <c r="I13" s="4">
        <f>+'202401anual'!E15</f>
        <v>81283194</v>
      </c>
      <c r="J13" s="4">
        <f>+[1]Resultados2023!$E$9-700236</f>
        <v>79053672</v>
      </c>
      <c r="K13" s="4">
        <f t="shared" si="1"/>
        <v>2229522</v>
      </c>
      <c r="L13" s="4">
        <f>+'202401anual'!F15</f>
        <v>81283194</v>
      </c>
      <c r="M13" s="4">
        <f>+[3]Resultados2023!$F$9</f>
        <v>74716769.890000001</v>
      </c>
      <c r="N13" s="4">
        <f t="shared" ref="N13:N19" si="10">+L13-M13</f>
        <v>6566424.1099999994</v>
      </c>
      <c r="O13" s="4">
        <f>+'202401anual'!G15</f>
        <v>81283194</v>
      </c>
      <c r="P13" s="4" t="str">
        <f>+[4]Hoja1!$G$9</f>
        <v>NUEVA EPS</v>
      </c>
      <c r="Q13" s="4" t="e">
        <f t="shared" ref="Q13:Q19" si="11">+O13-P13</f>
        <v>#VALUE!</v>
      </c>
      <c r="R13" s="4">
        <f>+'202401anual'!H15</f>
        <v>81283194</v>
      </c>
      <c r="S13" s="4"/>
      <c r="T13" s="4">
        <f t="shared" ref="T13:T19" si="12">+R13-S13</f>
        <v>81283194</v>
      </c>
      <c r="U13" s="4"/>
      <c r="V13" s="4"/>
      <c r="W13" s="4"/>
      <c r="X13" s="4"/>
      <c r="Y13" s="4"/>
      <c r="Z13" s="4"/>
      <c r="AA13" s="4">
        <f t="shared" ref="AA13:AB19" si="13">+C13+F13+I13+L13+O13+R13</f>
        <v>479631641.33013409</v>
      </c>
      <c r="AB13" s="4" t="e">
        <f t="shared" si="13"/>
        <v>#VALUE!</v>
      </c>
      <c r="AC13" s="4" t="e">
        <f t="shared" ref="AC13:AC19" si="14">+AA13-AB13</f>
        <v>#VALUE!</v>
      </c>
      <c r="AD13" s="43" t="e">
        <f t="shared" si="8"/>
        <v>#VALUE!</v>
      </c>
      <c r="AE13" s="34"/>
      <c r="AF13" s="36"/>
      <c r="AG13" s="36"/>
      <c r="AH13" s="2"/>
      <c r="AI13" s="2"/>
    </row>
    <row r="14" spans="1:41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6"/>
        <v>7020000</v>
      </c>
      <c r="F14" s="4">
        <f>+'202401anual'!D16</f>
        <v>0</v>
      </c>
      <c r="G14" s="4">
        <v>0</v>
      </c>
      <c r="H14" s="4">
        <f t="shared" si="0"/>
        <v>0</v>
      </c>
      <c r="I14" s="4">
        <f>+'202401anual'!E16</f>
        <v>0</v>
      </c>
      <c r="J14" s="4">
        <v>0</v>
      </c>
      <c r="K14" s="4">
        <f t="shared" si="1"/>
        <v>0</v>
      </c>
      <c r="L14" s="4">
        <f>+'202401anual'!F16</f>
        <v>0</v>
      </c>
      <c r="M14" s="4">
        <f>+[5]EjecucionPptalPasiva!$Q$203</f>
        <v>600000</v>
      </c>
      <c r="N14" s="4">
        <f t="shared" si="10"/>
        <v>-600000</v>
      </c>
      <c r="O14" s="4">
        <f>+'202401anual'!G16</f>
        <v>0</v>
      </c>
      <c r="P14" s="4">
        <v>0</v>
      </c>
      <c r="Q14" s="4">
        <f t="shared" si="11"/>
        <v>0</v>
      </c>
      <c r="R14" s="4">
        <f>+'202401anual'!H16</f>
        <v>0</v>
      </c>
      <c r="S14" s="4">
        <v>0</v>
      </c>
      <c r="T14" s="4">
        <f t="shared" si="12"/>
        <v>0</v>
      </c>
      <c r="U14" s="4"/>
      <c r="V14" s="4"/>
      <c r="W14" s="4"/>
      <c r="X14" s="4"/>
      <c r="Y14" s="4"/>
      <c r="Z14" s="4"/>
      <c r="AA14" s="4">
        <f t="shared" si="13"/>
        <v>7020000</v>
      </c>
      <c r="AB14" s="4">
        <f t="shared" si="13"/>
        <v>600000</v>
      </c>
      <c r="AC14" s="4">
        <f t="shared" si="14"/>
        <v>6420000</v>
      </c>
      <c r="AD14" s="43">
        <f t="shared" si="8"/>
        <v>0.9145299145299145</v>
      </c>
      <c r="AE14" s="34"/>
      <c r="AF14" s="36"/>
      <c r="AG14" s="36"/>
      <c r="AH14" s="2"/>
      <c r="AI14" s="2"/>
    </row>
    <row r="15" spans="1:41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6"/>
        <v>22793317</v>
      </c>
      <c r="F15" s="4">
        <f>+'202401anual'!D17</f>
        <v>20000000</v>
      </c>
      <c r="G15" s="4">
        <v>8480617</v>
      </c>
      <c r="H15" s="4">
        <f t="shared" si="0"/>
        <v>11519383</v>
      </c>
      <c r="I15" s="4">
        <f>+'202401anual'!E17</f>
        <v>12000000</v>
      </c>
      <c r="J15" s="4" t="e">
        <f>+#REF!</f>
        <v>#REF!</v>
      </c>
      <c r="K15" s="4" t="e">
        <f t="shared" si="1"/>
        <v>#REF!</v>
      </c>
      <c r="L15" s="4">
        <f>+'202401anual'!F17</f>
        <v>8000000</v>
      </c>
      <c r="M15" s="4" t="e">
        <f>+#REF!</f>
        <v>#REF!</v>
      </c>
      <c r="N15" s="4" t="e">
        <f t="shared" si="10"/>
        <v>#REF!</v>
      </c>
      <c r="O15" s="4">
        <f>+'202401anual'!G17</f>
        <v>71000000</v>
      </c>
      <c r="P15" s="4" t="e">
        <f>+#REF!</f>
        <v>#REF!</v>
      </c>
      <c r="Q15" s="4" t="e">
        <f t="shared" si="11"/>
        <v>#REF!</v>
      </c>
      <c r="R15" s="4">
        <f>+'202401anual'!H17</f>
        <v>24000000</v>
      </c>
      <c r="S15" s="4" t="e">
        <f>+#REF!</f>
        <v>#REF!</v>
      </c>
      <c r="T15" s="4" t="e">
        <f t="shared" si="12"/>
        <v>#REF!</v>
      </c>
      <c r="U15" s="4"/>
      <c r="V15" s="4"/>
      <c r="W15" s="4"/>
      <c r="X15" s="4"/>
      <c r="Y15" s="4"/>
      <c r="Z15" s="4"/>
      <c r="AA15" s="4">
        <f t="shared" si="13"/>
        <v>162833200</v>
      </c>
      <c r="AB15" s="4" t="e">
        <f t="shared" si="13"/>
        <v>#REF!</v>
      </c>
      <c r="AC15" s="4" t="e">
        <f t="shared" si="14"/>
        <v>#REF!</v>
      </c>
      <c r="AD15" s="43" t="e">
        <f t="shared" si="8"/>
        <v>#REF!</v>
      </c>
      <c r="AE15" s="34"/>
      <c r="AF15" s="36"/>
      <c r="AG15" s="36"/>
      <c r="AH15" s="2"/>
      <c r="AI15" s="37"/>
      <c r="AJ15" s="20"/>
      <c r="AK15" s="20"/>
      <c r="AL15" s="20"/>
      <c r="AM15" s="20"/>
      <c r="AN15" s="20"/>
      <c r="AO15" s="20"/>
    </row>
    <row r="16" spans="1:41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6"/>
        <v>365466495</v>
      </c>
      <c r="F16" s="4">
        <f>+'202401anual'!D27</f>
        <v>33386666.666666668</v>
      </c>
      <c r="G16" s="4">
        <f>125822+31200000+46400000</f>
        <v>77725822</v>
      </c>
      <c r="H16" s="4">
        <f t="shared" si="0"/>
        <v>-44339155.333333328</v>
      </c>
      <c r="I16" s="4">
        <f>+'202401anual'!E27</f>
        <v>33386666.666666668</v>
      </c>
      <c r="J16" s="4" t="e">
        <f>+#REF!</f>
        <v>#REF!</v>
      </c>
      <c r="K16" s="4" t="e">
        <f t="shared" si="1"/>
        <v>#REF!</v>
      </c>
      <c r="L16" s="4">
        <f>+'202401anual'!F27</f>
        <v>30000000</v>
      </c>
      <c r="M16" s="4" t="e">
        <f>+#REF!</f>
        <v>#REF!</v>
      </c>
      <c r="N16" s="4" t="e">
        <f t="shared" si="10"/>
        <v>#REF!</v>
      </c>
      <c r="O16" s="4">
        <f>+'202401anual'!G27</f>
        <v>80000000</v>
      </c>
      <c r="P16" s="4" t="e">
        <f>+#REF!</f>
        <v>#REF!</v>
      </c>
      <c r="Q16" s="4" t="e">
        <f t="shared" si="11"/>
        <v>#REF!</v>
      </c>
      <c r="R16" s="4">
        <f>+'202401anual'!H27</f>
        <v>40000000</v>
      </c>
      <c r="S16" s="4" t="e">
        <f>+#REF!</f>
        <v>#REF!</v>
      </c>
      <c r="T16" s="4" t="e">
        <f t="shared" si="12"/>
        <v>#REF!</v>
      </c>
      <c r="U16" s="4"/>
      <c r="V16" s="4"/>
      <c r="W16" s="4"/>
      <c r="X16" s="4"/>
      <c r="Y16" s="4"/>
      <c r="Z16" s="4"/>
      <c r="AA16" s="4">
        <f t="shared" si="13"/>
        <v>582365683.33333337</v>
      </c>
      <c r="AB16" s="4" t="e">
        <f t="shared" si="13"/>
        <v>#REF!</v>
      </c>
      <c r="AC16" s="4" t="e">
        <f t="shared" si="14"/>
        <v>#REF!</v>
      </c>
      <c r="AD16" s="43" t="e">
        <f t="shared" si="8"/>
        <v>#REF!</v>
      </c>
      <c r="AE16" s="34"/>
      <c r="AF16" s="36"/>
      <c r="AG16" s="2"/>
      <c r="AI16" s="37"/>
      <c r="AJ16" s="20"/>
      <c r="AK16" s="20"/>
      <c r="AL16" s="20"/>
      <c r="AM16" s="20"/>
      <c r="AN16" s="20"/>
      <c r="AO16" s="20"/>
    </row>
    <row r="17" spans="1:41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6"/>
        <v>0</v>
      </c>
      <c r="F17" s="4">
        <f>+'202401anual'!D33</f>
        <v>0</v>
      </c>
      <c r="G17" s="4">
        <v>0</v>
      </c>
      <c r="H17" s="4">
        <f t="shared" si="0"/>
        <v>0</v>
      </c>
      <c r="I17" s="4">
        <f>+'202401anual'!E33</f>
        <v>0</v>
      </c>
      <c r="J17" s="4">
        <v>0</v>
      </c>
      <c r="K17" s="4">
        <f t="shared" si="1"/>
        <v>0</v>
      </c>
      <c r="L17" s="4">
        <f>+'202401anual'!F33</f>
        <v>0</v>
      </c>
      <c r="M17" s="4">
        <v>0</v>
      </c>
      <c r="N17" s="4">
        <f t="shared" si="10"/>
        <v>0</v>
      </c>
      <c r="O17" s="4">
        <f>+'202401anual'!G33</f>
        <v>0</v>
      </c>
      <c r="P17" s="4">
        <v>0</v>
      </c>
      <c r="Q17" s="4">
        <f t="shared" si="11"/>
        <v>0</v>
      </c>
      <c r="R17" s="4">
        <f>+'202401anual'!H33</f>
        <v>49350000</v>
      </c>
      <c r="S17" s="4">
        <v>0</v>
      </c>
      <c r="T17" s="4">
        <f t="shared" si="12"/>
        <v>49350000</v>
      </c>
      <c r="U17" s="4"/>
      <c r="V17" s="4"/>
      <c r="W17" s="4"/>
      <c r="X17" s="4"/>
      <c r="Y17" s="4"/>
      <c r="Z17" s="4"/>
      <c r="AA17" s="4">
        <f t="shared" si="13"/>
        <v>49350000</v>
      </c>
      <c r="AB17" s="4">
        <f t="shared" si="13"/>
        <v>0</v>
      </c>
      <c r="AC17" s="4">
        <f t="shared" si="14"/>
        <v>49350000</v>
      </c>
      <c r="AD17" s="43">
        <v>0</v>
      </c>
      <c r="AE17" s="34"/>
      <c r="AF17" s="36"/>
      <c r="AG17" s="36"/>
      <c r="AH17" s="2"/>
      <c r="AI17" s="37"/>
      <c r="AJ17" s="20"/>
      <c r="AK17" s="20"/>
      <c r="AL17" s="20"/>
      <c r="AM17" s="20"/>
      <c r="AN17" s="20"/>
      <c r="AO17" s="20"/>
    </row>
    <row r="18" spans="1:41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6"/>
        <v>48866667</v>
      </c>
      <c r="F18" s="4">
        <f>+'202401anual'!D36</f>
        <v>0</v>
      </c>
      <c r="G18" s="4">
        <v>0</v>
      </c>
      <c r="H18" s="4">
        <f t="shared" si="0"/>
        <v>0</v>
      </c>
      <c r="I18" s="4">
        <f>+'202401anual'!E36</f>
        <v>0</v>
      </c>
      <c r="J18" s="4" t="e">
        <f>+#REF!</f>
        <v>#REF!</v>
      </c>
      <c r="K18" s="4" t="e">
        <f t="shared" si="1"/>
        <v>#REF!</v>
      </c>
      <c r="L18" s="4">
        <f>+'202401anual'!F36</f>
        <v>0</v>
      </c>
      <c r="M18" s="4" t="e">
        <f>+#REF!</f>
        <v>#REF!</v>
      </c>
      <c r="N18" s="4" t="e">
        <f t="shared" si="10"/>
        <v>#REF!</v>
      </c>
      <c r="O18" s="4">
        <f>+'202401anual'!G36</f>
        <v>0</v>
      </c>
      <c r="P18" s="4" t="e">
        <f>+#REF!</f>
        <v>#REF!</v>
      </c>
      <c r="Q18" s="4" t="e">
        <f t="shared" si="11"/>
        <v>#REF!</v>
      </c>
      <c r="R18" s="4">
        <f>+'202401anual'!H36</f>
        <v>0</v>
      </c>
      <c r="S18" s="4" t="e">
        <f>+#REF!</f>
        <v>#REF!</v>
      </c>
      <c r="T18" s="4" t="e">
        <f t="shared" si="12"/>
        <v>#REF!</v>
      </c>
      <c r="U18" s="4"/>
      <c r="V18" s="4"/>
      <c r="W18" s="4"/>
      <c r="X18" s="4"/>
      <c r="Y18" s="4"/>
      <c r="Z18" s="4"/>
      <c r="AA18" s="4">
        <f t="shared" si="13"/>
        <v>48866667</v>
      </c>
      <c r="AB18" s="4" t="e">
        <f t="shared" si="13"/>
        <v>#REF!</v>
      </c>
      <c r="AC18" s="4" t="e">
        <f t="shared" si="14"/>
        <v>#REF!</v>
      </c>
      <c r="AD18" s="43" t="e">
        <f t="shared" si="8"/>
        <v>#REF!</v>
      </c>
      <c r="AE18" s="34"/>
      <c r="AF18" s="36"/>
      <c r="AG18" s="36"/>
      <c r="AH18" s="2"/>
      <c r="AI18" s="37"/>
      <c r="AJ18" s="20"/>
      <c r="AK18" s="20"/>
      <c r="AL18" s="20"/>
      <c r="AM18" s="20"/>
      <c r="AN18" s="20"/>
      <c r="AO18" s="20"/>
    </row>
    <row r="19" spans="1:41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6"/>
        <v>4868448</v>
      </c>
      <c r="F19" s="4">
        <f>+'202401anual'!D37</f>
        <v>46765000</v>
      </c>
      <c r="G19" s="4">
        <f>1005925+499333+3000000</f>
        <v>4505258</v>
      </c>
      <c r="H19" s="4">
        <f t="shared" si="0"/>
        <v>42259742</v>
      </c>
      <c r="I19" s="4">
        <f>+'202401anual'!E37</f>
        <v>56765000</v>
      </c>
      <c r="J19" s="4" t="e">
        <f>+#REF!</f>
        <v>#REF!</v>
      </c>
      <c r="K19" s="4" t="e">
        <f t="shared" si="1"/>
        <v>#REF!</v>
      </c>
      <c r="L19" s="4">
        <f>+'202401anual'!F37</f>
        <v>28265000</v>
      </c>
      <c r="M19" s="4" t="e">
        <f>+#REF!</f>
        <v>#REF!</v>
      </c>
      <c r="N19" s="4" t="e">
        <f t="shared" si="10"/>
        <v>#REF!</v>
      </c>
      <c r="O19" s="4">
        <f>+'202401anual'!G37</f>
        <v>18015000</v>
      </c>
      <c r="P19" s="4" t="e">
        <f>+#REF!</f>
        <v>#REF!</v>
      </c>
      <c r="Q19" s="4" t="e">
        <f t="shared" si="11"/>
        <v>#REF!</v>
      </c>
      <c r="R19" s="4">
        <f>+'202401anual'!H37</f>
        <v>28015000</v>
      </c>
      <c r="S19" s="4" t="e">
        <f>+#REF!</f>
        <v>#REF!</v>
      </c>
      <c r="T19" s="4" t="e">
        <f t="shared" si="12"/>
        <v>#REF!</v>
      </c>
      <c r="U19" s="4"/>
      <c r="V19" s="4"/>
      <c r="W19" s="4"/>
      <c r="X19" s="4"/>
      <c r="Y19" s="4"/>
      <c r="Z19" s="4"/>
      <c r="AA19" s="4">
        <f t="shared" si="13"/>
        <v>184475000</v>
      </c>
      <c r="AB19" s="4" t="e">
        <f t="shared" si="13"/>
        <v>#REF!</v>
      </c>
      <c r="AC19" s="4" t="e">
        <f t="shared" si="14"/>
        <v>#REF!</v>
      </c>
      <c r="AD19" s="43" t="e">
        <f t="shared" si="8"/>
        <v>#REF!</v>
      </c>
      <c r="AE19" s="34"/>
      <c r="AF19" s="36"/>
      <c r="AG19" s="36"/>
      <c r="AH19" s="2"/>
      <c r="AI19" s="37"/>
      <c r="AJ19" s="20"/>
      <c r="AK19" s="20"/>
      <c r="AL19" s="20"/>
      <c r="AM19" s="20"/>
      <c r="AN19" s="20"/>
      <c r="AO19" s="20"/>
    </row>
    <row r="20" spans="1:41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AC20" si="15">SUM(D13:D19)</f>
        <v>93069894.719999999</v>
      </c>
      <c r="E20" s="8">
        <f t="shared" si="15"/>
        <v>436107993.61013407</v>
      </c>
      <c r="F20" s="8">
        <f t="shared" si="15"/>
        <v>181434860.66666666</v>
      </c>
      <c r="G20" s="8">
        <f t="shared" si="15"/>
        <v>172066765.28</v>
      </c>
      <c r="H20" s="8">
        <f t="shared" si="15"/>
        <v>9368095.3866666704</v>
      </c>
      <c r="I20" s="8">
        <f t="shared" si="15"/>
        <v>183434860.66666669</v>
      </c>
      <c r="J20" s="8" t="e">
        <f t="shared" si="15"/>
        <v>#REF!</v>
      </c>
      <c r="K20" s="8" t="e">
        <f t="shared" si="15"/>
        <v>#REF!</v>
      </c>
      <c r="L20" s="8">
        <f t="shared" si="15"/>
        <v>147548194</v>
      </c>
      <c r="M20" s="8" t="e">
        <f t="shared" si="15"/>
        <v>#REF!</v>
      </c>
      <c r="N20" s="8" t="e">
        <f t="shared" si="15"/>
        <v>#REF!</v>
      </c>
      <c r="O20" s="8">
        <f t="shared" si="15"/>
        <v>250298194</v>
      </c>
      <c r="P20" s="8" t="e">
        <f t="shared" si="15"/>
        <v>#REF!</v>
      </c>
      <c r="Q20" s="8" t="e">
        <f t="shared" si="15"/>
        <v>#VALUE!</v>
      </c>
      <c r="R20" s="8">
        <f>+'202401anual'!H45</f>
        <v>222648194</v>
      </c>
      <c r="S20" s="8" t="e">
        <f>SUM(S13:S19)</f>
        <v>#REF!</v>
      </c>
      <c r="T20" s="8" t="e">
        <f>SUM(T13:T19)</f>
        <v>#REF!</v>
      </c>
      <c r="U20" s="8">
        <f t="shared" si="15"/>
        <v>0</v>
      </c>
      <c r="V20" s="8">
        <f t="shared" si="15"/>
        <v>0</v>
      </c>
      <c r="W20" s="8">
        <f t="shared" si="15"/>
        <v>0</v>
      </c>
      <c r="X20" s="8">
        <f t="shared" si="15"/>
        <v>0</v>
      </c>
      <c r="Y20" s="8">
        <f t="shared" si="15"/>
        <v>0</v>
      </c>
      <c r="Z20" s="8">
        <f t="shared" si="15"/>
        <v>0</v>
      </c>
      <c r="AA20" s="8">
        <f t="shared" si="15"/>
        <v>1514542191.6634674</v>
      </c>
      <c r="AB20" s="8" t="e">
        <f t="shared" si="15"/>
        <v>#VALUE!</v>
      </c>
      <c r="AC20" s="8" t="e">
        <f t="shared" si="15"/>
        <v>#VALUE!</v>
      </c>
      <c r="AD20" s="31" t="e">
        <f t="shared" si="8"/>
        <v>#VALUE!</v>
      </c>
      <c r="AE20" s="34"/>
      <c r="AF20" s="35"/>
      <c r="AG20" s="35"/>
      <c r="AH20" s="2"/>
      <c r="AJ20" s="20"/>
      <c r="AK20" s="20"/>
      <c r="AL20" s="20"/>
      <c r="AM20" s="20"/>
    </row>
    <row r="21" spans="1:41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6"/>
        <v>-179887.4234513524</v>
      </c>
      <c r="F21" s="4">
        <f>+'202401anual'!D46</f>
        <v>3754480.2691064808</v>
      </c>
      <c r="G21" s="4">
        <f>+[2]Resultados2023!$D$25</f>
        <v>3491616</v>
      </c>
      <c r="H21" s="4">
        <f>+F21-G21</f>
        <v>262864.26910648076</v>
      </c>
      <c r="I21" s="4">
        <f>+'202401anual'!E46</f>
        <v>3754480.2691064808</v>
      </c>
      <c r="J21" s="4">
        <f>+[1]Resultados2023!$E$25</f>
        <v>3505299</v>
      </c>
      <c r="K21" s="4">
        <f t="shared" si="1"/>
        <v>249181.26910648076</v>
      </c>
      <c r="L21" s="4">
        <f>+'202401anual'!F46</f>
        <v>3754480.2691064808</v>
      </c>
      <c r="M21" s="4">
        <f>+[3]Resultados2023!$F$25</f>
        <v>3643137</v>
      </c>
      <c r="N21" s="4">
        <f>+L21-M21</f>
        <v>111343.26910648076</v>
      </c>
      <c r="O21" s="4">
        <f>+'202401anual'!G46</f>
        <v>3754480.2691064808</v>
      </c>
      <c r="P21" s="4" t="str">
        <f>+[4]Hoja1!$G$25</f>
        <v>NUEVA EPS</v>
      </c>
      <c r="Q21" s="4" t="e">
        <f>+O21-P21</f>
        <v>#VALUE!</v>
      </c>
      <c r="R21" s="4">
        <f>+'202401anual'!H46</f>
        <v>3754480.2691064808</v>
      </c>
      <c r="S21" s="4"/>
      <c r="T21" s="4">
        <f>+R21-S21</f>
        <v>3754480.2691064808</v>
      </c>
      <c r="U21" s="4"/>
      <c r="V21" s="4"/>
      <c r="W21" s="4"/>
      <c r="X21" s="4"/>
      <c r="Y21" s="4"/>
      <c r="Z21" s="4"/>
      <c r="AA21" s="4">
        <f>+C21+F21+I21+L21+O21+R21</f>
        <v>22157984.922081053</v>
      </c>
      <c r="AB21" s="4" t="e">
        <f>+D21+G21+J21+M21+P21+S21</f>
        <v>#VALUE!</v>
      </c>
      <c r="AC21" s="4" t="e">
        <f>+AA21-AB21</f>
        <v>#VALUE!</v>
      </c>
      <c r="AD21" s="43" t="e">
        <f t="shared" si="8"/>
        <v>#VALUE!</v>
      </c>
      <c r="AE21" s="34"/>
      <c r="AF21" s="38"/>
      <c r="AG21" s="38"/>
      <c r="AH21" s="2"/>
      <c r="AJ21" s="20"/>
      <c r="AK21" s="20"/>
      <c r="AL21" s="20"/>
      <c r="AM21" s="20"/>
    </row>
    <row r="22" spans="1:41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6"/>
        <v>3218265</v>
      </c>
      <c r="F22" s="4">
        <f>+'202401anual'!D47</f>
        <v>50000000</v>
      </c>
      <c r="G22" s="4">
        <v>31735</v>
      </c>
      <c r="H22" s="4">
        <f>+F22-G22</f>
        <v>49968265</v>
      </c>
      <c r="I22" s="4">
        <f>+'202401anual'!E47</f>
        <v>20000000</v>
      </c>
      <c r="J22" s="4" t="e">
        <f>+#REF!</f>
        <v>#REF!</v>
      </c>
      <c r="K22" s="4" t="e">
        <f t="shared" si="1"/>
        <v>#REF!</v>
      </c>
      <c r="L22" s="4">
        <f>+'202401anual'!F47</f>
        <v>0</v>
      </c>
      <c r="M22" s="4">
        <v>31735</v>
      </c>
      <c r="N22" s="4">
        <f>+L22-M22</f>
        <v>-31735</v>
      </c>
      <c r="O22" s="4">
        <f>+'202401anual'!G47</f>
        <v>17250000</v>
      </c>
      <c r="P22" s="4">
        <v>31735</v>
      </c>
      <c r="Q22" s="4">
        <f>+O22-P22</f>
        <v>17218265</v>
      </c>
      <c r="R22" s="4">
        <f>+'202401anual'!H47</f>
        <v>22750000</v>
      </c>
      <c r="S22" s="4"/>
      <c r="T22" s="4">
        <f>+R22-S22</f>
        <v>22750000</v>
      </c>
      <c r="U22" s="4"/>
      <c r="V22" s="4"/>
      <c r="W22" s="4"/>
      <c r="X22" s="4"/>
      <c r="Y22" s="4"/>
      <c r="Z22" s="4"/>
      <c r="AA22" s="4">
        <f>+C22+F22+I22+L22+O22+R22</f>
        <v>113250000</v>
      </c>
      <c r="AB22" s="4" t="e">
        <f>+D22+G22+J22+M22+P22+S22</f>
        <v>#REF!</v>
      </c>
      <c r="AC22" s="4" t="e">
        <f>+AA22-AB22</f>
        <v>#REF!</v>
      </c>
      <c r="AD22" s="43" t="e">
        <f t="shared" si="8"/>
        <v>#REF!</v>
      </c>
      <c r="AE22" s="34"/>
      <c r="AF22" s="38"/>
      <c r="AG22" s="38"/>
      <c r="AH22" s="2"/>
      <c r="AJ22" s="20"/>
      <c r="AK22" s="20"/>
      <c r="AL22" s="20"/>
      <c r="AM22" s="20"/>
    </row>
    <row r="23" spans="1:41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AC23" si="16">SUM(D21:D22)</f>
        <v>3597206</v>
      </c>
      <c r="E23" s="8">
        <f t="shared" si="16"/>
        <v>3038377.5765486476</v>
      </c>
      <c r="F23" s="8">
        <f t="shared" si="16"/>
        <v>53754480.269106477</v>
      </c>
      <c r="G23" s="8">
        <f t="shared" si="16"/>
        <v>3523351</v>
      </c>
      <c r="H23" s="8">
        <f t="shared" si="16"/>
        <v>50231129.269106477</v>
      </c>
      <c r="I23" s="8">
        <f t="shared" si="16"/>
        <v>23754480.269106481</v>
      </c>
      <c r="J23" s="8" t="e">
        <f t="shared" si="16"/>
        <v>#REF!</v>
      </c>
      <c r="K23" s="8" t="e">
        <f t="shared" si="16"/>
        <v>#REF!</v>
      </c>
      <c r="L23" s="8">
        <f t="shared" si="16"/>
        <v>3754480.2691064808</v>
      </c>
      <c r="M23" s="8">
        <f t="shared" si="16"/>
        <v>3674872</v>
      </c>
      <c r="N23" s="8">
        <f t="shared" si="16"/>
        <v>79608.269106480759</v>
      </c>
      <c r="O23" s="8">
        <f t="shared" si="16"/>
        <v>21004480.269106481</v>
      </c>
      <c r="P23" s="8">
        <f t="shared" si="16"/>
        <v>31735</v>
      </c>
      <c r="Q23" s="8" t="e">
        <f t="shared" si="16"/>
        <v>#VALUE!</v>
      </c>
      <c r="R23" s="8">
        <f>+'202401anual'!H48</f>
        <v>26504480.269106481</v>
      </c>
      <c r="S23" s="8">
        <f t="shared" si="16"/>
        <v>0</v>
      </c>
      <c r="T23" s="8">
        <f t="shared" si="16"/>
        <v>26504480.269106481</v>
      </c>
      <c r="U23" s="8">
        <f t="shared" si="16"/>
        <v>0</v>
      </c>
      <c r="V23" s="8">
        <f t="shared" si="16"/>
        <v>0</v>
      </c>
      <c r="W23" s="8">
        <f t="shared" si="16"/>
        <v>0</v>
      </c>
      <c r="X23" s="8">
        <f t="shared" si="16"/>
        <v>0</v>
      </c>
      <c r="Y23" s="8">
        <f t="shared" si="16"/>
        <v>0</v>
      </c>
      <c r="Z23" s="8">
        <f t="shared" si="16"/>
        <v>0</v>
      </c>
      <c r="AA23" s="8">
        <f t="shared" si="16"/>
        <v>135407984.92208105</v>
      </c>
      <c r="AB23" s="8" t="e">
        <f t="shared" si="16"/>
        <v>#VALUE!</v>
      </c>
      <c r="AC23" s="8" t="e">
        <f t="shared" si="16"/>
        <v>#VALUE!</v>
      </c>
      <c r="AD23" s="31" t="e">
        <f>+AC23/AA23</f>
        <v>#VALUE!</v>
      </c>
      <c r="AE23" s="34"/>
      <c r="AF23" s="36"/>
      <c r="AG23" s="36"/>
      <c r="AH23" s="2"/>
      <c r="AJ23" s="20"/>
      <c r="AK23" s="20"/>
      <c r="AL23" s="20"/>
      <c r="AM23" s="20"/>
    </row>
    <row r="24" spans="1:41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AC24" si="17">+D23+D20</f>
        <v>96667100.719999999</v>
      </c>
      <c r="E24" s="8">
        <f t="shared" si="17"/>
        <v>439146371.1866827</v>
      </c>
      <c r="F24" s="8">
        <f t="shared" si="17"/>
        <v>235189340.93577313</v>
      </c>
      <c r="G24" s="8">
        <f t="shared" si="17"/>
        <v>175590116.28</v>
      </c>
      <c r="H24" s="8">
        <f t="shared" si="17"/>
        <v>59599224.655773148</v>
      </c>
      <c r="I24" s="8">
        <f t="shared" si="17"/>
        <v>207189340.93577316</v>
      </c>
      <c r="J24" s="8" t="e">
        <f t="shared" si="17"/>
        <v>#REF!</v>
      </c>
      <c r="K24" s="8" t="e">
        <f t="shared" si="17"/>
        <v>#REF!</v>
      </c>
      <c r="L24" s="8">
        <f t="shared" si="17"/>
        <v>151302674.26910648</v>
      </c>
      <c r="M24" s="8" t="e">
        <f t="shared" si="17"/>
        <v>#REF!</v>
      </c>
      <c r="N24" s="8" t="e">
        <f t="shared" si="17"/>
        <v>#REF!</v>
      </c>
      <c r="O24" s="8">
        <f t="shared" si="17"/>
        <v>271302674.26910651</v>
      </c>
      <c r="P24" s="8" t="e">
        <f t="shared" si="17"/>
        <v>#REF!</v>
      </c>
      <c r="Q24" s="8" t="e">
        <f t="shared" si="17"/>
        <v>#VALUE!</v>
      </c>
      <c r="R24" s="8">
        <f>+'202401anual'!H49</f>
        <v>249152674.26910648</v>
      </c>
      <c r="S24" s="8" t="e">
        <f t="shared" si="17"/>
        <v>#REF!</v>
      </c>
      <c r="T24" s="8" t="e">
        <f t="shared" si="17"/>
        <v>#REF!</v>
      </c>
      <c r="U24" s="8">
        <f t="shared" si="17"/>
        <v>0</v>
      </c>
      <c r="V24" s="8">
        <f t="shared" si="17"/>
        <v>0</v>
      </c>
      <c r="W24" s="8">
        <f t="shared" si="17"/>
        <v>0</v>
      </c>
      <c r="X24" s="8">
        <f t="shared" si="17"/>
        <v>0</v>
      </c>
      <c r="Y24" s="8">
        <f t="shared" si="17"/>
        <v>0</v>
      </c>
      <c r="Z24" s="8">
        <f t="shared" si="17"/>
        <v>0</v>
      </c>
      <c r="AA24" s="8">
        <f t="shared" si="17"/>
        <v>1649950176.5855484</v>
      </c>
      <c r="AB24" s="8" t="e">
        <f t="shared" si="17"/>
        <v>#VALUE!</v>
      </c>
      <c r="AC24" s="8" t="e">
        <f t="shared" si="17"/>
        <v>#VALUE!</v>
      </c>
      <c r="AD24" s="31" t="e">
        <f>+AC24/AA24</f>
        <v>#VALUE!</v>
      </c>
      <c r="AE24" s="34">
        <f>+H24/F24</f>
        <v>0.25340954831813084</v>
      </c>
      <c r="AF24" s="35" t="e">
        <f>+Q24/O24*100</f>
        <v>#VALUE!</v>
      </c>
      <c r="AG24" s="35"/>
      <c r="AH24" s="2"/>
      <c r="AI24" s="2"/>
      <c r="AJ24" s="20"/>
      <c r="AK24" s="20"/>
      <c r="AL24" s="20"/>
      <c r="AM24" s="20"/>
    </row>
    <row r="25" spans="1:41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18">+C25-D25</f>
        <v>30070217.754686698</v>
      </c>
      <c r="F25" s="4">
        <f>+'202401anual'!D50</f>
        <v>112349141.15499662</v>
      </c>
      <c r="G25" s="4">
        <f>+[2]Resultados2023!$D$39-[2]Resultados2023!$D$55-[2]Resultados2023!$C$55</f>
        <v>89823865.359999999</v>
      </c>
      <c r="H25" s="4">
        <f t="shared" ref="H25:H86" si="19">+F25-G25</f>
        <v>22525275.794996619</v>
      </c>
      <c r="I25" s="4">
        <f>+'202401anual'!E50</f>
        <v>112349141.15499662</v>
      </c>
      <c r="J25" s="4">
        <f>+[1]Resultados2023!$E$39-2640011</f>
        <v>96979851.420000002</v>
      </c>
      <c r="K25" s="4">
        <f t="shared" ref="K25:K33" si="20">+I25-J25</f>
        <v>15369289.734996617</v>
      </c>
      <c r="L25" s="4">
        <f>+'202401anual'!F50</f>
        <v>112349141.15499662</v>
      </c>
      <c r="M25" s="4">
        <f>+[3]Resultados2023!$F$39</f>
        <v>106508725.89</v>
      </c>
      <c r="N25" s="4">
        <f t="shared" ref="N25:N33" si="21">+L25-M25</f>
        <v>5840415.264996618</v>
      </c>
      <c r="O25" s="4">
        <f>+'202401anual'!G50</f>
        <v>112349141.15499662</v>
      </c>
      <c r="P25" s="4" t="str">
        <f>+[4]Hoja1!$G$39</f>
        <v>NUEVA EPS</v>
      </c>
      <c r="Q25" s="4" t="e">
        <f t="shared" ref="Q25:Q33" si="22">+O25-P25</f>
        <v>#VALUE!</v>
      </c>
      <c r="R25" s="4">
        <f>+'202401anual'!H50</f>
        <v>112349141.15499662</v>
      </c>
      <c r="S25" s="4"/>
      <c r="T25" s="4">
        <f t="shared" ref="T25:T33" si="23">+R25-S25</f>
        <v>112349141.15499662</v>
      </c>
      <c r="U25" s="4"/>
      <c r="V25" s="4"/>
      <c r="W25" s="4"/>
      <c r="X25" s="4"/>
      <c r="Y25" s="4"/>
      <c r="Z25" s="4"/>
      <c r="AA25" s="4">
        <f t="shared" ref="AA25:AB33" si="24">+C25+F25+I25+L25+O25+R25</f>
        <v>688083433.16966987</v>
      </c>
      <c r="AB25" s="4" t="e">
        <f t="shared" si="24"/>
        <v>#VALUE!</v>
      </c>
      <c r="AC25" s="4" t="e">
        <f t="shared" ref="AC25:AC33" si="25">+AA25-AB25</f>
        <v>#VALUE!</v>
      </c>
      <c r="AD25" s="43" t="e">
        <f>+AC25/AA25*100</f>
        <v>#VALUE!</v>
      </c>
      <c r="AE25" s="34"/>
      <c r="AF25" s="38"/>
      <c r="AG25" s="38"/>
      <c r="AH25" s="2"/>
      <c r="AI25" s="37"/>
      <c r="AJ25" s="20"/>
      <c r="AK25" s="20"/>
      <c r="AL25" s="20"/>
      <c r="AM25" s="20"/>
    </row>
    <row r="26" spans="1:41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18"/>
        <v>20972282.5</v>
      </c>
      <c r="F26" s="4">
        <f>+'202401anual'!D51</f>
        <v>0</v>
      </c>
      <c r="G26" s="10">
        <v>0</v>
      </c>
      <c r="H26" s="4">
        <f t="shared" si="19"/>
        <v>0</v>
      </c>
      <c r="I26" s="4">
        <f>+'202401anual'!E51</f>
        <v>0</v>
      </c>
      <c r="J26" s="10">
        <v>0</v>
      </c>
      <c r="K26" s="4">
        <f t="shared" si="20"/>
        <v>0</v>
      </c>
      <c r="L26" s="4">
        <f>+'202401anual'!F51</f>
        <v>0</v>
      </c>
      <c r="M26" s="4" t="e">
        <f>+#REF!</f>
        <v>#REF!</v>
      </c>
      <c r="N26" s="4" t="e">
        <f t="shared" si="21"/>
        <v>#REF!</v>
      </c>
      <c r="O26" s="4">
        <f>+'202401anual'!G51</f>
        <v>0</v>
      </c>
      <c r="P26" s="10">
        <v>0</v>
      </c>
      <c r="Q26" s="4">
        <f t="shared" si="22"/>
        <v>0</v>
      </c>
      <c r="R26" s="4">
        <f>+'202401anual'!H51</f>
        <v>0</v>
      </c>
      <c r="S26" s="10">
        <v>0</v>
      </c>
      <c r="T26" s="4">
        <f t="shared" si="23"/>
        <v>0</v>
      </c>
      <c r="U26" s="10"/>
      <c r="V26" s="10"/>
      <c r="W26" s="10"/>
      <c r="X26" s="10"/>
      <c r="Y26" s="10"/>
      <c r="Z26" s="10"/>
      <c r="AA26" s="4">
        <f t="shared" si="24"/>
        <v>20972282.5</v>
      </c>
      <c r="AB26" s="4" t="e">
        <f t="shared" si="24"/>
        <v>#REF!</v>
      </c>
      <c r="AC26" s="4" t="e">
        <f t="shared" si="25"/>
        <v>#REF!</v>
      </c>
      <c r="AD26" s="43" t="e">
        <f t="shared" ref="AD26:AD31" si="26">+AC26/AA26*100</f>
        <v>#REF!</v>
      </c>
      <c r="AE26" s="34"/>
      <c r="AF26" s="38"/>
      <c r="AG26" s="38"/>
      <c r="AH26" s="2"/>
      <c r="AI26" s="37"/>
      <c r="AJ26" s="20"/>
      <c r="AK26" s="20"/>
    </row>
    <row r="27" spans="1:41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18"/>
        <v>11968265</v>
      </c>
      <c r="F27" s="4">
        <f>+'202401anual'!D52</f>
        <v>0</v>
      </c>
      <c r="G27" s="4">
        <v>31735</v>
      </c>
      <c r="H27" s="4">
        <f t="shared" si="19"/>
        <v>-31735</v>
      </c>
      <c r="I27" s="4">
        <f>+'202401anual'!E52</f>
        <v>0</v>
      </c>
      <c r="J27" s="4" t="e">
        <f>+#REF!</f>
        <v>#REF!</v>
      </c>
      <c r="K27" s="4" t="e">
        <f t="shared" si="20"/>
        <v>#REF!</v>
      </c>
      <c r="L27" s="4">
        <f>+'202401anual'!F52</f>
        <v>0</v>
      </c>
      <c r="M27" s="4" t="e">
        <f>+#REF!</f>
        <v>#REF!</v>
      </c>
      <c r="N27" s="4" t="e">
        <f t="shared" si="21"/>
        <v>#REF!</v>
      </c>
      <c r="O27" s="4">
        <f>+'202401anual'!G52</f>
        <v>0</v>
      </c>
      <c r="P27" s="4" t="e">
        <f>+#REF!</f>
        <v>#REF!</v>
      </c>
      <c r="Q27" s="4" t="e">
        <f t="shared" si="22"/>
        <v>#REF!</v>
      </c>
      <c r="R27" s="4">
        <f>+'202401anual'!H52</f>
        <v>0</v>
      </c>
      <c r="S27" s="4" t="e">
        <f>+#REF!</f>
        <v>#REF!</v>
      </c>
      <c r="T27" s="4" t="e">
        <f t="shared" si="23"/>
        <v>#REF!</v>
      </c>
      <c r="U27" s="4"/>
      <c r="V27" s="4"/>
      <c r="W27" s="4"/>
      <c r="X27" s="4"/>
      <c r="Y27" s="4"/>
      <c r="Z27" s="4"/>
      <c r="AA27" s="4">
        <f t="shared" si="24"/>
        <v>12000000</v>
      </c>
      <c r="AB27" s="4" t="e">
        <f t="shared" si="24"/>
        <v>#REF!</v>
      </c>
      <c r="AC27" s="4" t="e">
        <f t="shared" si="25"/>
        <v>#REF!</v>
      </c>
      <c r="AD27" s="43" t="e">
        <f t="shared" si="26"/>
        <v>#REF!</v>
      </c>
      <c r="AE27" s="34"/>
      <c r="AF27" s="38"/>
      <c r="AG27" s="38"/>
      <c r="AH27" s="2"/>
      <c r="AI27" s="2"/>
    </row>
    <row r="28" spans="1:41" x14ac:dyDescent="0.25">
      <c r="A28" s="5" t="s">
        <v>17</v>
      </c>
      <c r="B28" s="46">
        <f>8582072214-7200000000-720000000</f>
        <v>662072214</v>
      </c>
      <c r="C28" s="4">
        <v>55867726.200000003</v>
      </c>
      <c r="D28" s="4">
        <v>1086170</v>
      </c>
      <c r="E28" s="4">
        <f t="shared" si="18"/>
        <v>54781556.200000003</v>
      </c>
      <c r="F28" s="4">
        <f>+'202401anual'!D55</f>
        <v>59412573</v>
      </c>
      <c r="G28" s="4">
        <f>63470+22169100</f>
        <v>22232570</v>
      </c>
      <c r="H28" s="4">
        <f t="shared" si="19"/>
        <v>37180003</v>
      </c>
      <c r="I28" s="4">
        <f>+'202401anual'!E55</f>
        <v>0</v>
      </c>
      <c r="J28" s="4" t="e">
        <f>+#REF!</f>
        <v>#REF!</v>
      </c>
      <c r="K28" s="4" t="e">
        <f t="shared" si="20"/>
        <v>#REF!</v>
      </c>
      <c r="L28" s="4">
        <f>+'202401anual'!F55</f>
        <v>0</v>
      </c>
      <c r="M28" s="4" t="e">
        <f>+#REF!</f>
        <v>#REF!</v>
      </c>
      <c r="N28" s="4" t="e">
        <f t="shared" si="21"/>
        <v>#REF!</v>
      </c>
      <c r="O28" s="4">
        <f>+'202401anual'!G55</f>
        <v>63900000</v>
      </c>
      <c r="P28" s="4" t="e">
        <f>+#REF!</f>
        <v>#REF!</v>
      </c>
      <c r="Q28" s="4" t="e">
        <f t="shared" si="22"/>
        <v>#REF!</v>
      </c>
      <c r="R28" s="46">
        <f>+'202401anual'!H55-7200000000-720000000</f>
        <v>-7856100000</v>
      </c>
      <c r="S28" s="4" t="e">
        <f>+#REF!</f>
        <v>#REF!</v>
      </c>
      <c r="T28" s="4" t="e">
        <f t="shared" si="23"/>
        <v>#REF!</v>
      </c>
      <c r="U28" s="4"/>
      <c r="V28" s="4"/>
      <c r="W28" s="4"/>
      <c r="X28" s="4"/>
      <c r="Y28" s="4"/>
      <c r="Z28" s="4"/>
      <c r="AA28" s="4">
        <f t="shared" si="24"/>
        <v>-7676919700.8000002</v>
      </c>
      <c r="AB28" s="4" t="e">
        <f t="shared" si="24"/>
        <v>#REF!</v>
      </c>
      <c r="AC28" s="4" t="e">
        <f t="shared" si="25"/>
        <v>#REF!</v>
      </c>
      <c r="AD28" s="43" t="e">
        <f t="shared" si="26"/>
        <v>#REF!</v>
      </c>
      <c r="AE28" s="34"/>
      <c r="AF28" s="38"/>
      <c r="AG28" s="38"/>
      <c r="AH28" s="2"/>
      <c r="AI28" s="2"/>
    </row>
    <row r="29" spans="1:41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18"/>
        <v>86901963.599999994</v>
      </c>
      <c r="F29" s="4">
        <f>+'202401anual'!D59</f>
        <v>50098775.880999997</v>
      </c>
      <c r="G29" s="4">
        <f>64000000+31775</f>
        <v>64031775</v>
      </c>
      <c r="H29" s="4">
        <f t="shared" si="19"/>
        <v>-13932999.119000003</v>
      </c>
      <c r="I29" s="4">
        <f>+'202401anual'!E59</f>
        <v>6000000</v>
      </c>
      <c r="J29" s="4" t="e">
        <f>+#REF!</f>
        <v>#REF!</v>
      </c>
      <c r="K29" s="4" t="e">
        <f t="shared" si="20"/>
        <v>#REF!</v>
      </c>
      <c r="L29" s="4">
        <f>+'202401anual'!F59</f>
        <v>15156500</v>
      </c>
      <c r="M29" s="4" t="e">
        <f>+#REF!</f>
        <v>#REF!</v>
      </c>
      <c r="N29" s="4" t="e">
        <f t="shared" si="21"/>
        <v>#REF!</v>
      </c>
      <c r="O29" s="4">
        <f>+'202401anual'!G59</f>
        <v>49856500</v>
      </c>
      <c r="P29" s="4" t="e">
        <f>+#REF!</f>
        <v>#REF!</v>
      </c>
      <c r="Q29" s="4" t="e">
        <f t="shared" si="22"/>
        <v>#REF!</v>
      </c>
      <c r="R29" s="4">
        <f>+'202401anual'!H59</f>
        <v>62456500</v>
      </c>
      <c r="S29" s="4" t="e">
        <f>+#REF!</f>
        <v>#REF!</v>
      </c>
      <c r="T29" s="4" t="e">
        <f t="shared" si="23"/>
        <v>#REF!</v>
      </c>
      <c r="U29" s="4"/>
      <c r="V29" s="4"/>
      <c r="W29" s="4"/>
      <c r="X29" s="4"/>
      <c r="Y29" s="4"/>
      <c r="Z29" s="4"/>
      <c r="AA29" s="4">
        <f t="shared" si="24"/>
        <v>279112191.48100001</v>
      </c>
      <c r="AB29" s="4" t="e">
        <f t="shared" si="24"/>
        <v>#REF!</v>
      </c>
      <c r="AC29" s="4" t="e">
        <f t="shared" si="25"/>
        <v>#REF!</v>
      </c>
      <c r="AD29" s="43" t="e">
        <f t="shared" si="26"/>
        <v>#REF!</v>
      </c>
      <c r="AE29" s="34"/>
      <c r="AF29" s="38"/>
      <c r="AG29" s="38"/>
      <c r="AH29" s="2"/>
      <c r="AI29" s="2"/>
    </row>
    <row r="30" spans="1:41" x14ac:dyDescent="0.25">
      <c r="A30" s="5" t="s">
        <v>57</v>
      </c>
      <c r="B30" s="46">
        <f>737281080-10000000-10000000</f>
        <v>717281080</v>
      </c>
      <c r="C30" s="4">
        <v>133706950</v>
      </c>
      <c r="D30" s="4">
        <v>117651</v>
      </c>
      <c r="E30" s="4">
        <f t="shared" si="18"/>
        <v>133589299</v>
      </c>
      <c r="F30" s="4">
        <f>+'202401anual'!D73</f>
        <v>2115000</v>
      </c>
      <c r="G30" s="4">
        <f>3454434+117651+3000000</f>
        <v>6572085</v>
      </c>
      <c r="H30" s="4">
        <f t="shared" si="19"/>
        <v>-4457085</v>
      </c>
      <c r="I30" s="4">
        <f>+'202401anual'!E73</f>
        <v>1755000</v>
      </c>
      <c r="J30" s="4" t="e">
        <f>+#REF!</f>
        <v>#REF!</v>
      </c>
      <c r="K30" s="4" t="e">
        <f t="shared" si="20"/>
        <v>#REF!</v>
      </c>
      <c r="L30" s="4">
        <f>+'202401anual'!F73</f>
        <v>615000</v>
      </c>
      <c r="M30" s="4" t="e">
        <f>+#REF!</f>
        <v>#REF!</v>
      </c>
      <c r="N30" s="4" t="e">
        <f t="shared" si="21"/>
        <v>#REF!</v>
      </c>
      <c r="O30" s="4">
        <f>+'202401anual'!G73</f>
        <v>615000</v>
      </c>
      <c r="P30" s="4" t="e">
        <f>+#REF!</f>
        <v>#REF!</v>
      </c>
      <c r="Q30" s="4" t="e">
        <f t="shared" si="22"/>
        <v>#REF!</v>
      </c>
      <c r="R30" s="46">
        <f>+'202401anual'!H73-10000000-10000000</f>
        <v>-17885000</v>
      </c>
      <c r="S30" s="4" t="e">
        <f>+#REF!</f>
        <v>#REF!</v>
      </c>
      <c r="T30" s="4" t="e">
        <f t="shared" si="23"/>
        <v>#REF!</v>
      </c>
      <c r="U30" s="4"/>
      <c r="V30" s="4"/>
      <c r="W30" s="4"/>
      <c r="X30" s="4"/>
      <c r="Y30" s="4"/>
      <c r="Z30" s="4"/>
      <c r="AA30" s="4">
        <f t="shared" si="24"/>
        <v>120921950</v>
      </c>
      <c r="AB30" s="4" t="e">
        <f t="shared" si="24"/>
        <v>#REF!</v>
      </c>
      <c r="AC30" s="4" t="e">
        <f t="shared" si="25"/>
        <v>#REF!</v>
      </c>
      <c r="AD30" s="43" t="e">
        <f t="shared" si="26"/>
        <v>#REF!</v>
      </c>
      <c r="AE30" s="34"/>
      <c r="AF30" s="38"/>
      <c r="AG30" s="38"/>
      <c r="AH30" s="2"/>
      <c r="AI30" s="2"/>
    </row>
    <row r="31" spans="1:41" x14ac:dyDescent="0.25">
      <c r="A31" s="5" t="s">
        <v>66</v>
      </c>
      <c r="B31" s="4">
        <f>47254560+28654560</f>
        <v>75909120</v>
      </c>
      <c r="C31" s="4">
        <v>72609120</v>
      </c>
      <c r="D31" s="4">
        <v>0</v>
      </c>
      <c r="E31" s="4">
        <f t="shared" si="18"/>
        <v>72609120</v>
      </c>
      <c r="F31" s="4">
        <f>+'202401anual'!D80</f>
        <v>0</v>
      </c>
      <c r="G31" s="4">
        <v>0</v>
      </c>
      <c r="H31" s="4">
        <f t="shared" si="19"/>
        <v>0</v>
      </c>
      <c r="I31" s="4">
        <f>+'202401anual'!E80</f>
        <v>0</v>
      </c>
      <c r="J31" s="4">
        <v>0</v>
      </c>
      <c r="K31" s="4">
        <f t="shared" si="20"/>
        <v>0</v>
      </c>
      <c r="L31" s="4">
        <f>+'202401anual'!F80</f>
        <v>0</v>
      </c>
      <c r="M31" s="4">
        <v>0</v>
      </c>
      <c r="N31" s="4">
        <f t="shared" si="21"/>
        <v>0</v>
      </c>
      <c r="O31" s="4">
        <f>+'202401anual'!G80</f>
        <v>0</v>
      </c>
      <c r="P31" s="4">
        <v>0</v>
      </c>
      <c r="Q31" s="4">
        <f t="shared" si="22"/>
        <v>0</v>
      </c>
      <c r="R31" s="4">
        <f>+'202401anual'!H80</f>
        <v>0</v>
      </c>
      <c r="S31" s="4">
        <v>0</v>
      </c>
      <c r="T31" s="4">
        <f t="shared" si="23"/>
        <v>0</v>
      </c>
      <c r="U31" s="4"/>
      <c r="V31" s="4"/>
      <c r="W31" s="4"/>
      <c r="X31" s="4"/>
      <c r="Y31" s="4"/>
      <c r="Z31" s="4"/>
      <c r="AA31" s="4">
        <f t="shared" si="24"/>
        <v>72609120</v>
      </c>
      <c r="AB31" s="4">
        <f t="shared" si="24"/>
        <v>0</v>
      </c>
      <c r="AC31" s="4">
        <f t="shared" si="25"/>
        <v>72609120</v>
      </c>
      <c r="AD31" s="43">
        <f t="shared" si="26"/>
        <v>100</v>
      </c>
      <c r="AE31" s="34"/>
      <c r="AF31" s="38"/>
      <c r="AG31" s="38"/>
      <c r="AH31" s="2"/>
      <c r="AI31" s="2"/>
    </row>
    <row r="32" spans="1:41" x14ac:dyDescent="0.25">
      <c r="A32" s="5" t="s">
        <v>90</v>
      </c>
      <c r="B32" s="46">
        <f>1500000000-1500000000</f>
        <v>0</v>
      </c>
      <c r="C32" s="4">
        <v>0</v>
      </c>
      <c r="D32" s="4">
        <v>0</v>
      </c>
      <c r="E32" s="4">
        <f t="shared" si="18"/>
        <v>0</v>
      </c>
      <c r="F32" s="4" t="e">
        <f>+'202401anual'!#REF!</f>
        <v>#REF!</v>
      </c>
      <c r="G32" s="4">
        <v>0</v>
      </c>
      <c r="H32" s="4" t="e">
        <f t="shared" si="19"/>
        <v>#REF!</v>
      </c>
      <c r="I32" s="4" t="e">
        <f>+'202401anual'!#REF!</f>
        <v>#REF!</v>
      </c>
      <c r="J32" s="4">
        <v>0</v>
      </c>
      <c r="K32" s="4" t="e">
        <f t="shared" si="20"/>
        <v>#REF!</v>
      </c>
      <c r="L32" s="4" t="e">
        <f>+'202401anual'!#REF!</f>
        <v>#REF!</v>
      </c>
      <c r="M32" s="4">
        <v>0</v>
      </c>
      <c r="N32" s="4" t="e">
        <f t="shared" si="21"/>
        <v>#REF!</v>
      </c>
      <c r="O32" s="4" t="e">
        <f>+'202401anual'!#REF!</f>
        <v>#REF!</v>
      </c>
      <c r="P32" s="4">
        <v>0</v>
      </c>
      <c r="Q32" s="4" t="e">
        <f t="shared" si="22"/>
        <v>#REF!</v>
      </c>
      <c r="R32" s="46">
        <v>-1500000000</v>
      </c>
      <c r="S32" s="4">
        <v>0</v>
      </c>
      <c r="T32" s="4">
        <f t="shared" si="23"/>
        <v>-1500000000</v>
      </c>
      <c r="U32" s="4"/>
      <c r="V32" s="4"/>
      <c r="W32" s="4"/>
      <c r="X32" s="4"/>
      <c r="Y32" s="4"/>
      <c r="Z32" s="4"/>
      <c r="AA32" s="4" t="e">
        <f t="shared" si="24"/>
        <v>#REF!</v>
      </c>
      <c r="AB32" s="4">
        <f t="shared" si="24"/>
        <v>0</v>
      </c>
      <c r="AC32" s="4" t="e">
        <f t="shared" si="25"/>
        <v>#REF!</v>
      </c>
      <c r="AD32" s="43">
        <v>0</v>
      </c>
      <c r="AE32" s="34"/>
      <c r="AF32" s="38"/>
      <c r="AG32" s="38"/>
      <c r="AH32" s="2"/>
      <c r="AI32" s="2"/>
    </row>
    <row r="33" spans="1:38" x14ac:dyDescent="0.25">
      <c r="A33" s="5" t="s">
        <v>91</v>
      </c>
      <c r="B33" s="46">
        <f>150000000-150000000</f>
        <v>0</v>
      </c>
      <c r="C33" s="4">
        <v>0</v>
      </c>
      <c r="D33" s="4">
        <v>0</v>
      </c>
      <c r="E33" s="4">
        <f t="shared" si="18"/>
        <v>0</v>
      </c>
      <c r="F33" s="4" t="e">
        <f>+'202401anual'!#REF!</f>
        <v>#REF!</v>
      </c>
      <c r="G33" s="4">
        <v>0</v>
      </c>
      <c r="H33" s="4" t="e">
        <f t="shared" si="19"/>
        <v>#REF!</v>
      </c>
      <c r="I33" s="4" t="e">
        <f>+'202401anual'!#REF!</f>
        <v>#REF!</v>
      </c>
      <c r="J33" s="4">
        <v>0</v>
      </c>
      <c r="K33" s="4" t="e">
        <f t="shared" si="20"/>
        <v>#REF!</v>
      </c>
      <c r="L33" s="4" t="e">
        <f>+'202401anual'!#REF!</f>
        <v>#REF!</v>
      </c>
      <c r="M33" s="4">
        <v>0</v>
      </c>
      <c r="N33" s="4" t="e">
        <f t="shared" si="21"/>
        <v>#REF!</v>
      </c>
      <c r="O33" s="4" t="e">
        <f>+'202401anual'!#REF!</f>
        <v>#REF!</v>
      </c>
      <c r="P33" s="4">
        <v>0</v>
      </c>
      <c r="Q33" s="4" t="e">
        <f t="shared" si="22"/>
        <v>#REF!</v>
      </c>
      <c r="R33" s="46">
        <v>-150000000</v>
      </c>
      <c r="S33" s="4">
        <v>0</v>
      </c>
      <c r="T33" s="4">
        <f t="shared" si="23"/>
        <v>-150000000</v>
      </c>
      <c r="U33" s="4"/>
      <c r="V33" s="4"/>
      <c r="W33" s="4"/>
      <c r="X33" s="4"/>
      <c r="Y33" s="4"/>
      <c r="Z33" s="4"/>
      <c r="AA33" s="4" t="e">
        <f t="shared" si="24"/>
        <v>#REF!</v>
      </c>
      <c r="AB33" s="4">
        <f t="shared" si="24"/>
        <v>0</v>
      </c>
      <c r="AC33" s="4" t="e">
        <f t="shared" si="25"/>
        <v>#REF!</v>
      </c>
      <c r="AD33" s="43">
        <v>0</v>
      </c>
      <c r="AE33" s="34"/>
      <c r="AF33" s="38" t="e">
        <f>+Q34/O34*100</f>
        <v>#VALUE!</v>
      </c>
      <c r="AG33" s="38"/>
      <c r="AH33" s="2"/>
      <c r="AI33" s="2"/>
    </row>
    <row r="34" spans="1:38" x14ac:dyDescent="0.25">
      <c r="A34" s="12" t="s">
        <v>52</v>
      </c>
      <c r="B34" s="8">
        <f>SUM(B25:B33)</f>
        <v>4779801170</v>
      </c>
      <c r="C34" s="8">
        <f>SUM(C25:C33)</f>
        <v>517037721.69468665</v>
      </c>
      <c r="D34" s="8">
        <f t="shared" ref="D34:AA34" si="27">SUM(D25:D33)</f>
        <v>106145017.64</v>
      </c>
      <c r="E34" s="8">
        <f t="shared" si="27"/>
        <v>410892704.05468667</v>
      </c>
      <c r="F34" s="8" t="e">
        <f>SUM(F25:F33)</f>
        <v>#REF!</v>
      </c>
      <c r="G34" s="8">
        <f t="shared" si="27"/>
        <v>182692030.36000001</v>
      </c>
      <c r="H34" s="8" t="e">
        <f t="shared" si="27"/>
        <v>#REF!</v>
      </c>
      <c r="I34" s="8" t="e">
        <f t="shared" si="27"/>
        <v>#REF!</v>
      </c>
      <c r="J34" s="8" t="e">
        <f t="shared" si="27"/>
        <v>#REF!</v>
      </c>
      <c r="K34" s="8" t="e">
        <f t="shared" si="27"/>
        <v>#REF!</v>
      </c>
      <c r="L34" s="8" t="e">
        <f t="shared" si="27"/>
        <v>#REF!</v>
      </c>
      <c r="M34" s="8" t="e">
        <f t="shared" si="27"/>
        <v>#REF!</v>
      </c>
      <c r="N34" s="8" t="e">
        <f t="shared" si="27"/>
        <v>#REF!</v>
      </c>
      <c r="O34" s="8" t="e">
        <f t="shared" si="27"/>
        <v>#REF!</v>
      </c>
      <c r="P34" s="8" t="e">
        <f t="shared" si="27"/>
        <v>#REF!</v>
      </c>
      <c r="Q34" s="8" t="e">
        <f t="shared" si="27"/>
        <v>#VALUE!</v>
      </c>
      <c r="R34" s="8">
        <f t="shared" si="27"/>
        <v>-9349179358.8450031</v>
      </c>
      <c r="S34" s="8" t="e">
        <f t="shared" si="27"/>
        <v>#REF!</v>
      </c>
      <c r="T34" s="8" t="e">
        <f t="shared" si="27"/>
        <v>#REF!</v>
      </c>
      <c r="U34" s="8">
        <f t="shared" si="27"/>
        <v>0</v>
      </c>
      <c r="V34" s="8">
        <f t="shared" si="27"/>
        <v>0</v>
      </c>
      <c r="W34" s="8">
        <f t="shared" si="27"/>
        <v>0</v>
      </c>
      <c r="X34" s="8">
        <f t="shared" si="27"/>
        <v>0</v>
      </c>
      <c r="Y34" s="8">
        <f t="shared" si="27"/>
        <v>0</v>
      </c>
      <c r="Z34" s="8">
        <f t="shared" si="27"/>
        <v>0</v>
      </c>
      <c r="AA34" s="8" t="e">
        <f t="shared" si="27"/>
        <v>#REF!</v>
      </c>
      <c r="AB34" s="8" t="e">
        <f>SUM(AB25:AB33)</f>
        <v>#VALUE!</v>
      </c>
      <c r="AC34" s="8" t="e">
        <f>SUM(AC25:AC33)</f>
        <v>#VALUE!</v>
      </c>
      <c r="AD34" s="31" t="e">
        <f>+AC34/AA34</f>
        <v>#VALUE!</v>
      </c>
      <c r="AE34" s="34" t="e">
        <f>+H34/F34</f>
        <v>#REF!</v>
      </c>
      <c r="AF34" s="39">
        <f>100-63</f>
        <v>37</v>
      </c>
      <c r="AG34" s="45" t="e">
        <f>+N34/L34*100</f>
        <v>#REF!</v>
      </c>
      <c r="AH34" s="2"/>
    </row>
    <row r="35" spans="1:38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18"/>
        <v>5353835.6812000945</v>
      </c>
      <c r="F35" s="4">
        <f>+'202401anual'!D82</f>
        <v>26796512.592504274</v>
      </c>
      <c r="G35" s="4">
        <f>27167981-[2]Resultados2023!$C$130-4802535</f>
        <v>22015542</v>
      </c>
      <c r="H35" s="4">
        <f t="shared" si="19"/>
        <v>4780970.5925042741</v>
      </c>
      <c r="I35" s="4">
        <f>+'202401anual'!E82</f>
        <v>26796512.592504274</v>
      </c>
      <c r="J35" s="4">
        <f>45708144.09-J36-1028181</f>
        <v>22383681.090000004</v>
      </c>
      <c r="K35" s="4">
        <f t="shared" ref="K35:K86" si="28">+I35-J35</f>
        <v>4412831.5025042705</v>
      </c>
      <c r="L35" s="4">
        <f>+'202401anual'!F82</f>
        <v>26796512.592504274</v>
      </c>
      <c r="M35" s="4">
        <f>32442461-4802535</f>
        <v>27639926</v>
      </c>
      <c r="N35" s="4">
        <f t="shared" ref="N35:N86" si="29">+L35-M35</f>
        <v>-843413.4074957259</v>
      </c>
      <c r="O35" s="4">
        <f>+'202401anual'!G82</f>
        <v>26796512.592504274</v>
      </c>
      <c r="P35" s="4">
        <v>27521103</v>
      </c>
      <c r="Q35" s="4">
        <f t="shared" ref="Q35:Q86" si="30">+O35-P35</f>
        <v>-724590.4074957259</v>
      </c>
      <c r="R35" s="4">
        <f>+'202401anual'!H82</f>
        <v>26796512.592504274</v>
      </c>
      <c r="S35" s="4"/>
      <c r="T35" s="4">
        <f t="shared" ref="T35:T86" si="31">+R35-S35</f>
        <v>26796512.592504274</v>
      </c>
      <c r="U35" s="4"/>
      <c r="V35" s="4"/>
      <c r="W35" s="4"/>
      <c r="X35" s="4"/>
      <c r="Y35" s="4"/>
      <c r="Z35" s="4"/>
      <c r="AA35" s="4">
        <f t="shared" ref="AA35:AB86" si="32">+C35+F35+I35+L35+O35+R35</f>
        <v>160241605.64372146</v>
      </c>
      <c r="AB35" s="4">
        <f t="shared" si="32"/>
        <v>120465459.09</v>
      </c>
      <c r="AC35" s="4">
        <f t="shared" ref="AC35:AC86" si="33">+AA35-AB35</f>
        <v>39776146.553721458</v>
      </c>
      <c r="AD35" s="43">
        <f t="shared" ref="AD35:AD86" si="34">+AC35/AA35*100</f>
        <v>24.822608581543477</v>
      </c>
      <c r="AE35" s="34"/>
      <c r="AF35" s="38"/>
      <c r="AG35" s="38"/>
      <c r="AH35" s="2"/>
      <c r="AI35" s="2"/>
      <c r="AL35" s="2"/>
    </row>
    <row r="36" spans="1:38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18"/>
        <v>1078744.4128668979</v>
      </c>
      <c r="F36" s="4">
        <f>+'202401anual'!D83</f>
        <v>21673904.556444976</v>
      </c>
      <c r="G36" s="4">
        <f>16820292+4802535</f>
        <v>21622827</v>
      </c>
      <c r="H36" s="4">
        <f t="shared" si="19"/>
        <v>51077.556444976479</v>
      </c>
      <c r="I36" s="4">
        <f>+'202401anual'!E83</f>
        <v>21673904.556444976</v>
      </c>
      <c r="J36" s="4">
        <f>17493747+4802535</f>
        <v>22296282</v>
      </c>
      <c r="K36" s="4">
        <f t="shared" si="28"/>
        <v>-622377.44355502352</v>
      </c>
      <c r="L36" s="4">
        <f>+'202401anual'!F83</f>
        <v>21673904.556444976</v>
      </c>
      <c r="M36" s="4">
        <f>18669307+4802535</f>
        <v>23471842</v>
      </c>
      <c r="N36" s="4">
        <f t="shared" si="29"/>
        <v>-1797937.4435550235</v>
      </c>
      <c r="O36" s="4">
        <f>+'202401anual'!G83</f>
        <v>21673904.556444976</v>
      </c>
      <c r="P36" s="4">
        <v>23370937.437838003</v>
      </c>
      <c r="Q36" s="4">
        <f t="shared" si="30"/>
        <v>-1697032.8813930266</v>
      </c>
      <c r="R36" s="4">
        <f>+'202401anual'!H83</f>
        <v>21673904.556444976</v>
      </c>
      <c r="S36" s="4"/>
      <c r="T36" s="4">
        <f t="shared" si="31"/>
        <v>21673904.556444976</v>
      </c>
      <c r="U36" s="4"/>
      <c r="V36" s="4"/>
      <c r="W36" s="4"/>
      <c r="X36" s="4"/>
      <c r="Y36" s="4"/>
      <c r="Z36" s="4"/>
      <c r="AA36" s="4">
        <f t="shared" si="32"/>
        <v>127516381.19509177</v>
      </c>
      <c r="AB36" s="4">
        <f t="shared" si="32"/>
        <v>108830002.437838</v>
      </c>
      <c r="AC36" s="4">
        <f t="shared" si="33"/>
        <v>18686378.757253766</v>
      </c>
      <c r="AD36" s="43">
        <f t="shared" si="34"/>
        <v>14.654100580744069</v>
      </c>
      <c r="AE36" s="34"/>
      <c r="AF36" s="38"/>
      <c r="AG36" s="38"/>
      <c r="AH36" s="2"/>
      <c r="AI36" s="2"/>
      <c r="AL36" s="2"/>
    </row>
    <row r="37" spans="1:38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18"/>
        <v>0</v>
      </c>
      <c r="F37" s="4">
        <f>+'202401anual'!D84</f>
        <v>0</v>
      </c>
      <c r="G37" s="4">
        <v>0</v>
      </c>
      <c r="H37" s="4">
        <f t="shared" si="19"/>
        <v>0</v>
      </c>
      <c r="I37" s="4">
        <f>+'202401anual'!E84</f>
        <v>0</v>
      </c>
      <c r="J37" s="4"/>
      <c r="K37" s="4">
        <f t="shared" si="28"/>
        <v>0</v>
      </c>
      <c r="L37" s="4">
        <f>+'202401anual'!F84</f>
        <v>0</v>
      </c>
      <c r="M37" s="4">
        <v>0</v>
      </c>
      <c r="N37" s="4">
        <f t="shared" si="29"/>
        <v>0</v>
      </c>
      <c r="O37" s="4">
        <f>+'202401anual'!G84</f>
        <v>0</v>
      </c>
      <c r="P37" s="4">
        <v>0</v>
      </c>
      <c r="Q37" s="4">
        <f t="shared" si="30"/>
        <v>0</v>
      </c>
      <c r="R37" s="4">
        <f>+'202401anual'!H84</f>
        <v>0</v>
      </c>
      <c r="S37" s="4"/>
      <c r="T37" s="4">
        <f t="shared" si="31"/>
        <v>0</v>
      </c>
      <c r="U37" s="4"/>
      <c r="V37" s="4"/>
      <c r="W37" s="4"/>
      <c r="X37" s="4"/>
      <c r="Y37" s="4"/>
      <c r="Z37" s="4"/>
      <c r="AA37" s="4">
        <f t="shared" si="32"/>
        <v>0</v>
      </c>
      <c r="AB37" s="4">
        <f t="shared" si="32"/>
        <v>0</v>
      </c>
      <c r="AC37" s="4">
        <f t="shared" si="33"/>
        <v>0</v>
      </c>
      <c r="AD37" s="43">
        <v>0</v>
      </c>
      <c r="AE37" s="34"/>
      <c r="AF37" s="38"/>
      <c r="AG37" s="38"/>
      <c r="AH37" s="2"/>
      <c r="AI37" s="2"/>
      <c r="AL37" s="2"/>
    </row>
    <row r="38" spans="1:38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18"/>
        <v>-34000</v>
      </c>
      <c r="F38" s="4">
        <f>+'202401anual'!D85</f>
        <v>900000</v>
      </c>
      <c r="G38" s="4">
        <v>794000</v>
      </c>
      <c r="H38" s="4">
        <f t="shared" si="19"/>
        <v>106000</v>
      </c>
      <c r="I38" s="4">
        <f>+'202401anual'!E85</f>
        <v>0</v>
      </c>
      <c r="J38" s="4">
        <f>+[6]EjecucionPptalPasiva!$Q$276</f>
        <v>794000</v>
      </c>
      <c r="K38" s="4">
        <f t="shared" si="28"/>
        <v>-794000</v>
      </c>
      <c r="L38" s="4">
        <f>+'202401anual'!F85</f>
        <v>0</v>
      </c>
      <c r="M38" s="4">
        <f>+[5]EjecucionPptalPasiva!$Q$276</f>
        <v>794000</v>
      </c>
      <c r="N38" s="4">
        <f t="shared" si="29"/>
        <v>-794000</v>
      </c>
      <c r="O38" s="4">
        <f>+'202401anual'!G85</f>
        <v>0</v>
      </c>
      <c r="P38" s="4">
        <v>794000</v>
      </c>
      <c r="Q38" s="4">
        <f t="shared" si="30"/>
        <v>-794000</v>
      </c>
      <c r="R38" s="4">
        <f>+'202401anual'!H85</f>
        <v>0</v>
      </c>
      <c r="S38" s="4"/>
      <c r="T38" s="4">
        <f t="shared" si="31"/>
        <v>0</v>
      </c>
      <c r="U38" s="4"/>
      <c r="V38" s="4"/>
      <c r="W38" s="4"/>
      <c r="X38" s="4"/>
      <c r="Y38" s="4"/>
      <c r="Z38" s="4"/>
      <c r="AA38" s="4">
        <f t="shared" si="32"/>
        <v>1660000</v>
      </c>
      <c r="AB38" s="4">
        <f t="shared" si="32"/>
        <v>3970000</v>
      </c>
      <c r="AC38" s="4">
        <f t="shared" si="33"/>
        <v>-2310000</v>
      </c>
      <c r="AD38" s="43">
        <f t="shared" si="34"/>
        <v>-139.15662650602408</v>
      </c>
      <c r="AE38" s="34"/>
      <c r="AF38" s="38"/>
      <c r="AG38" s="38"/>
      <c r="AH38" s="2"/>
      <c r="AI38" s="2"/>
    </row>
    <row r="39" spans="1:38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18"/>
        <v>0</v>
      </c>
      <c r="F39" s="4">
        <f>+'202401anual'!D86</f>
        <v>1075000</v>
      </c>
      <c r="G39" s="4">
        <v>0</v>
      </c>
      <c r="H39" s="4">
        <f t="shared" si="19"/>
        <v>1075000</v>
      </c>
      <c r="I39" s="4">
        <f>+'202401anual'!E86</f>
        <v>1075000</v>
      </c>
      <c r="J39" s="4"/>
      <c r="K39" s="4">
        <f t="shared" si="28"/>
        <v>1075000</v>
      </c>
      <c r="L39" s="4">
        <f>+'202401anual'!F86</f>
        <v>1075000</v>
      </c>
      <c r="M39" s="4">
        <v>0</v>
      </c>
      <c r="N39" s="4">
        <f t="shared" si="29"/>
        <v>1075000</v>
      </c>
      <c r="O39" s="4">
        <f>+'202401anual'!G86</f>
        <v>1075000</v>
      </c>
      <c r="P39" s="4">
        <v>0</v>
      </c>
      <c r="Q39" s="4">
        <f t="shared" si="30"/>
        <v>1075000</v>
      </c>
      <c r="R39" s="4">
        <f>+'202401anual'!H86</f>
        <v>1075000</v>
      </c>
      <c r="S39" s="4"/>
      <c r="T39" s="4">
        <f t="shared" si="31"/>
        <v>1075000</v>
      </c>
      <c r="U39" s="4"/>
      <c r="V39" s="4"/>
      <c r="W39" s="4"/>
      <c r="X39" s="4"/>
      <c r="Y39" s="4"/>
      <c r="Z39" s="4"/>
      <c r="AA39" s="4">
        <f t="shared" si="32"/>
        <v>5375000</v>
      </c>
      <c r="AB39" s="4">
        <f t="shared" si="32"/>
        <v>0</v>
      </c>
      <c r="AC39" s="4">
        <f t="shared" si="33"/>
        <v>5375000</v>
      </c>
      <c r="AD39" s="43">
        <v>0</v>
      </c>
      <c r="AE39" s="34"/>
      <c r="AF39" s="38"/>
      <c r="AG39" s="38"/>
      <c r="AH39" s="2"/>
      <c r="AI39" s="2"/>
    </row>
    <row r="40" spans="1:38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18"/>
        <v>0</v>
      </c>
      <c r="F40" s="4">
        <f>+'202401anual'!D87</f>
        <v>0</v>
      </c>
      <c r="G40" s="4">
        <v>0</v>
      </c>
      <c r="H40" s="4">
        <f t="shared" si="19"/>
        <v>0</v>
      </c>
      <c r="I40" s="4">
        <f>+'202401anual'!E87</f>
        <v>0</v>
      </c>
      <c r="J40" s="4"/>
      <c r="K40" s="4">
        <f t="shared" si="28"/>
        <v>0</v>
      </c>
      <c r="L40" s="4">
        <f>+'202401anual'!F87</f>
        <v>0</v>
      </c>
      <c r="M40" s="4">
        <v>0</v>
      </c>
      <c r="N40" s="4">
        <f t="shared" si="29"/>
        <v>0</v>
      </c>
      <c r="O40" s="4">
        <f>+'202401anual'!G87</f>
        <v>0</v>
      </c>
      <c r="P40" s="4">
        <v>0</v>
      </c>
      <c r="Q40" s="4">
        <f t="shared" si="30"/>
        <v>0</v>
      </c>
      <c r="R40" s="4">
        <f>+'202401anual'!H87</f>
        <v>369000</v>
      </c>
      <c r="S40" s="4"/>
      <c r="T40" s="4">
        <f t="shared" si="31"/>
        <v>369000</v>
      </c>
      <c r="U40" s="4"/>
      <c r="V40" s="4"/>
      <c r="W40" s="4"/>
      <c r="X40" s="4"/>
      <c r="Y40" s="4"/>
      <c r="Z40" s="4"/>
      <c r="AA40" s="4">
        <f t="shared" si="32"/>
        <v>369000</v>
      </c>
      <c r="AB40" s="4">
        <f t="shared" si="32"/>
        <v>0</v>
      </c>
      <c r="AC40" s="4">
        <f t="shared" si="33"/>
        <v>369000</v>
      </c>
      <c r="AD40" s="43">
        <v>0</v>
      </c>
      <c r="AE40" s="34"/>
      <c r="AF40" s="38"/>
      <c r="AG40" s="38"/>
      <c r="AH40" s="2"/>
      <c r="AI40" s="2"/>
    </row>
    <row r="41" spans="1:38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18"/>
        <v>534000</v>
      </c>
      <c r="F41" s="4">
        <f>+'202401anual'!D88</f>
        <v>11965000</v>
      </c>
      <c r="G41" s="4">
        <v>10666000</v>
      </c>
      <c r="H41" s="4">
        <f t="shared" si="19"/>
        <v>1299000</v>
      </c>
      <c r="I41" s="4">
        <f>+'202401anual'!E88</f>
        <v>11965000</v>
      </c>
      <c r="J41" s="4">
        <f>+[6]EjecucionPptalPasiva!$Q$289+[6]EjecucionPptalPasiva!$Q$294</f>
        <v>10666000</v>
      </c>
      <c r="K41" s="4">
        <f t="shared" si="28"/>
        <v>1299000</v>
      </c>
      <c r="L41" s="4">
        <f>+'202401anual'!F88</f>
        <v>11965000</v>
      </c>
      <c r="M41" s="4">
        <f>+[5]EjecucionPptalPasiva!$Q$289+[5]EjecucionPptalPasiva!$Q$294</f>
        <v>10666000</v>
      </c>
      <c r="N41" s="4">
        <f t="shared" si="29"/>
        <v>1299000</v>
      </c>
      <c r="O41" s="4">
        <f>+'202401anual'!G88</f>
        <v>11965000</v>
      </c>
      <c r="P41" s="4">
        <v>10666000</v>
      </c>
      <c r="Q41" s="4">
        <f t="shared" si="30"/>
        <v>1299000</v>
      </c>
      <c r="R41" s="4">
        <f>+'202401anual'!H88</f>
        <v>11965000</v>
      </c>
      <c r="S41" s="4"/>
      <c r="T41" s="4">
        <f t="shared" si="31"/>
        <v>11965000</v>
      </c>
      <c r="U41" s="4"/>
      <c r="V41" s="4"/>
      <c r="W41" s="4"/>
      <c r="X41" s="4"/>
      <c r="Y41" s="4"/>
      <c r="Z41" s="4"/>
      <c r="AA41" s="4">
        <f t="shared" si="32"/>
        <v>71025000</v>
      </c>
      <c r="AB41" s="4">
        <f t="shared" si="32"/>
        <v>53330000</v>
      </c>
      <c r="AC41" s="4">
        <f t="shared" si="33"/>
        <v>17695000</v>
      </c>
      <c r="AD41" s="43">
        <f t="shared" si="34"/>
        <v>24.913762759591691</v>
      </c>
      <c r="AE41" s="34"/>
      <c r="AF41" s="38"/>
      <c r="AG41" s="38"/>
      <c r="AH41" s="2"/>
      <c r="AI41" s="2"/>
    </row>
    <row r="42" spans="1:38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18"/>
        <v>0</v>
      </c>
      <c r="F42" s="4">
        <f>+'202401anual'!D89</f>
        <v>0</v>
      </c>
      <c r="G42" s="4">
        <v>3450000</v>
      </c>
      <c r="H42" s="4">
        <f t="shared" si="19"/>
        <v>-3450000</v>
      </c>
      <c r="I42" s="4">
        <f>+'202401anual'!E89</f>
        <v>0</v>
      </c>
      <c r="J42" s="4"/>
      <c r="K42" s="4">
        <f t="shared" si="28"/>
        <v>0</v>
      </c>
      <c r="L42" s="4">
        <f>+'202401anual'!F89</f>
        <v>0</v>
      </c>
      <c r="M42" s="4">
        <v>0</v>
      </c>
      <c r="N42" s="4">
        <f t="shared" si="29"/>
        <v>0</v>
      </c>
      <c r="O42" s="4">
        <f>+'202401anual'!G89</f>
        <v>3500000</v>
      </c>
      <c r="P42" s="4">
        <v>0</v>
      </c>
      <c r="Q42" s="4">
        <f t="shared" si="30"/>
        <v>3500000</v>
      </c>
      <c r="R42" s="4">
        <f>+'202401anual'!H89</f>
        <v>3500000</v>
      </c>
      <c r="S42" s="4"/>
      <c r="T42" s="4">
        <f t="shared" si="31"/>
        <v>3500000</v>
      </c>
      <c r="U42" s="4"/>
      <c r="V42" s="4"/>
      <c r="W42" s="4"/>
      <c r="X42" s="4"/>
      <c r="Y42" s="4"/>
      <c r="Z42" s="4"/>
      <c r="AA42" s="4">
        <f t="shared" si="32"/>
        <v>7000000</v>
      </c>
      <c r="AB42" s="4">
        <f t="shared" si="32"/>
        <v>3450000</v>
      </c>
      <c r="AC42" s="4">
        <f t="shared" si="33"/>
        <v>3550000</v>
      </c>
      <c r="AD42" s="43">
        <v>0</v>
      </c>
      <c r="AE42" s="34"/>
      <c r="AF42" s="38"/>
      <c r="AG42" s="38"/>
      <c r="AH42" s="2"/>
      <c r="AI42" s="2"/>
    </row>
    <row r="43" spans="1:38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18"/>
        <v>3584000</v>
      </c>
      <c r="F43" s="4">
        <f>+'202401anual'!D90</f>
        <v>5465000</v>
      </c>
      <c r="G43" s="4">
        <v>2582989</v>
      </c>
      <c r="H43" s="4">
        <f t="shared" si="19"/>
        <v>2882011</v>
      </c>
      <c r="I43" s="4">
        <f>+'202401anual'!E90</f>
        <v>1865000</v>
      </c>
      <c r="J43" s="4">
        <f>+[6]EjecucionPptalPasiva!$Q$290+[6]EjecucionPptalPasiva!$Q$295</f>
        <v>2694465</v>
      </c>
      <c r="K43" s="4">
        <f t="shared" si="28"/>
        <v>-829465</v>
      </c>
      <c r="L43" s="4">
        <f>+'202401anual'!F90</f>
        <v>5465000</v>
      </c>
      <c r="M43" s="4">
        <f>+[5]EjecucionPptalPasiva!$Q$290+[5]EjecucionPptalPasiva!$Q$295</f>
        <v>2686418</v>
      </c>
      <c r="N43" s="4">
        <f t="shared" si="29"/>
        <v>2778582</v>
      </c>
      <c r="O43" s="4">
        <f>+'202401anual'!G90</f>
        <v>5165000</v>
      </c>
      <c r="P43" s="4">
        <v>2813343.24</v>
      </c>
      <c r="Q43" s="4">
        <f t="shared" si="30"/>
        <v>2351656.7599999998</v>
      </c>
      <c r="R43" s="4">
        <f>+'202401anual'!H90</f>
        <v>5165000</v>
      </c>
      <c r="S43" s="4"/>
      <c r="T43" s="4">
        <f t="shared" si="31"/>
        <v>5165000</v>
      </c>
      <c r="U43" s="4"/>
      <c r="V43" s="4"/>
      <c r="W43" s="4"/>
      <c r="X43" s="4"/>
      <c r="Y43" s="4"/>
      <c r="Z43" s="4"/>
      <c r="AA43" s="4">
        <f t="shared" si="32"/>
        <v>28885000</v>
      </c>
      <c r="AB43" s="4">
        <f t="shared" si="32"/>
        <v>12953215.24</v>
      </c>
      <c r="AC43" s="4">
        <f t="shared" si="33"/>
        <v>15931784.76</v>
      </c>
      <c r="AD43" s="43">
        <f t="shared" si="34"/>
        <v>55.155910541803699</v>
      </c>
      <c r="AE43" s="34"/>
      <c r="AF43" s="38"/>
      <c r="AG43" s="38"/>
      <c r="AH43" s="2"/>
      <c r="AI43" s="2"/>
    </row>
    <row r="44" spans="1:38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18"/>
        <v>3980000</v>
      </c>
      <c r="F44" s="4">
        <f>+'202401anual'!D91</f>
        <v>0</v>
      </c>
      <c r="G44" s="4">
        <v>0</v>
      </c>
      <c r="H44" s="4">
        <f t="shared" si="19"/>
        <v>0</v>
      </c>
      <c r="I44" s="4">
        <f>+'202401anual'!E91</f>
        <v>44250000</v>
      </c>
      <c r="J44" s="4"/>
      <c r="K44" s="4">
        <f t="shared" si="28"/>
        <v>44250000</v>
      </c>
      <c r="L44" s="4">
        <f>+'202401anual'!F91</f>
        <v>0</v>
      </c>
      <c r="M44" s="4">
        <f>+[5]EjecucionPptalPasiva!$O$228</f>
        <v>593000</v>
      </c>
      <c r="N44" s="4">
        <f t="shared" si="29"/>
        <v>-593000</v>
      </c>
      <c r="O44" s="4">
        <f>+'202401anual'!G91</f>
        <v>0</v>
      </c>
      <c r="P44" s="4">
        <v>0</v>
      </c>
      <c r="Q44" s="4">
        <f t="shared" si="30"/>
        <v>0</v>
      </c>
      <c r="R44" s="4">
        <f>+'202401anual'!H91</f>
        <v>16250000</v>
      </c>
      <c r="S44" s="4">
        <v>0</v>
      </c>
      <c r="T44" s="4">
        <f t="shared" si="31"/>
        <v>16250000</v>
      </c>
      <c r="U44" s="4"/>
      <c r="V44" s="4"/>
      <c r="W44" s="4"/>
      <c r="X44" s="4"/>
      <c r="Y44" s="4"/>
      <c r="Z44" s="4"/>
      <c r="AA44" s="4">
        <f t="shared" si="32"/>
        <v>64480000</v>
      </c>
      <c r="AB44" s="4">
        <f t="shared" si="32"/>
        <v>593000</v>
      </c>
      <c r="AC44" s="4">
        <f t="shared" si="33"/>
        <v>63887000</v>
      </c>
      <c r="AD44" s="43">
        <f t="shared" si="34"/>
        <v>99.080334987593062</v>
      </c>
      <c r="AE44" s="34"/>
      <c r="AF44" s="38"/>
      <c r="AG44" s="38"/>
      <c r="AH44" s="2"/>
      <c r="AI44" s="2"/>
    </row>
    <row r="45" spans="1:38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18"/>
        <v>0</v>
      </c>
      <c r="F45" s="4">
        <f>+'202401anual'!D92</f>
        <v>0</v>
      </c>
      <c r="G45" s="4">
        <v>0</v>
      </c>
      <c r="H45" s="4">
        <f t="shared" si="19"/>
        <v>0</v>
      </c>
      <c r="I45" s="4">
        <f>+'202401anual'!E92</f>
        <v>0</v>
      </c>
      <c r="J45" s="4"/>
      <c r="K45" s="4">
        <f t="shared" si="28"/>
        <v>0</v>
      </c>
      <c r="L45" s="4">
        <f>+'202401anual'!F92</f>
        <v>0</v>
      </c>
      <c r="M45" s="4">
        <v>0</v>
      </c>
      <c r="N45" s="4">
        <f t="shared" si="29"/>
        <v>0</v>
      </c>
      <c r="O45" s="4">
        <f>+'202401anual'!G92</f>
        <v>0</v>
      </c>
      <c r="P45" s="4">
        <v>0</v>
      </c>
      <c r="Q45" s="4">
        <f t="shared" si="30"/>
        <v>0</v>
      </c>
      <c r="R45" s="4">
        <f>+'202401anual'!H92</f>
        <v>0</v>
      </c>
      <c r="S45" s="4">
        <v>0</v>
      </c>
      <c r="T45" s="4">
        <f t="shared" si="31"/>
        <v>0</v>
      </c>
      <c r="U45" s="4"/>
      <c r="V45" s="4"/>
      <c r="W45" s="4"/>
      <c r="X45" s="4"/>
      <c r="Y45" s="4"/>
      <c r="Z45" s="4"/>
      <c r="AA45" s="4">
        <f t="shared" si="32"/>
        <v>0</v>
      </c>
      <c r="AB45" s="4">
        <f t="shared" si="32"/>
        <v>0</v>
      </c>
      <c r="AC45" s="4">
        <f t="shared" si="33"/>
        <v>0</v>
      </c>
      <c r="AD45" s="43">
        <v>0</v>
      </c>
      <c r="AE45" s="34"/>
      <c r="AF45" s="38"/>
      <c r="AG45" s="38"/>
      <c r="AH45" s="2"/>
      <c r="AI45" s="2"/>
    </row>
    <row r="46" spans="1:38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18"/>
        <v>500000</v>
      </c>
      <c r="F46" s="4">
        <f>+'202401anual'!D93</f>
        <v>0</v>
      </c>
      <c r="G46" s="4"/>
      <c r="H46" s="4">
        <f t="shared" si="19"/>
        <v>0</v>
      </c>
      <c r="I46" s="4">
        <f>+'202401anual'!E93</f>
        <v>0</v>
      </c>
      <c r="J46" s="4"/>
      <c r="K46" s="4">
        <f t="shared" si="28"/>
        <v>0</v>
      </c>
      <c r="L46" s="4">
        <f>+'202401anual'!F93</f>
        <v>3500000</v>
      </c>
      <c r="M46" s="4">
        <f>+[5]EjecucionPptalPasiva!$O$234</f>
        <v>4758000</v>
      </c>
      <c r="N46" s="4">
        <f t="shared" si="29"/>
        <v>-1258000</v>
      </c>
      <c r="O46" s="4">
        <f>+'202401anual'!G93</f>
        <v>3500000</v>
      </c>
      <c r="P46" s="4">
        <v>0</v>
      </c>
      <c r="Q46" s="4">
        <f t="shared" si="30"/>
        <v>3500000</v>
      </c>
      <c r="R46" s="4">
        <f>+'202401anual'!H93</f>
        <v>3500000</v>
      </c>
      <c r="S46" s="4">
        <v>0</v>
      </c>
      <c r="T46" s="4">
        <f t="shared" si="31"/>
        <v>3500000</v>
      </c>
      <c r="U46" s="4"/>
      <c r="V46" s="4"/>
      <c r="W46" s="4"/>
      <c r="X46" s="4"/>
      <c r="Y46" s="4"/>
      <c r="Z46" s="4"/>
      <c r="AA46" s="4">
        <f t="shared" si="32"/>
        <v>11000000</v>
      </c>
      <c r="AB46" s="4">
        <f t="shared" si="32"/>
        <v>4758000</v>
      </c>
      <c r="AC46" s="4">
        <f t="shared" si="33"/>
        <v>6242000</v>
      </c>
      <c r="AD46" s="43">
        <f t="shared" si="34"/>
        <v>56.745454545454542</v>
      </c>
      <c r="AE46" s="34"/>
      <c r="AF46" s="38"/>
      <c r="AG46" s="38"/>
      <c r="AH46" s="2"/>
      <c r="AI46" s="2"/>
    </row>
    <row r="47" spans="1:38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18"/>
        <v>1350000</v>
      </c>
      <c r="F47" s="4">
        <f>+'202401anual'!D94</f>
        <v>0</v>
      </c>
      <c r="G47" s="4"/>
      <c r="H47" s="4">
        <f t="shared" si="19"/>
        <v>0</v>
      </c>
      <c r="I47" s="4">
        <f>+'202401anual'!E94</f>
        <v>11993500</v>
      </c>
      <c r="J47" s="4"/>
      <c r="K47" s="4">
        <f t="shared" si="28"/>
        <v>11993500</v>
      </c>
      <c r="L47" s="4">
        <f>+'202401anual'!F94</f>
        <v>428500</v>
      </c>
      <c r="M47" s="4">
        <v>0</v>
      </c>
      <c r="N47" s="4">
        <f t="shared" si="29"/>
        <v>428500</v>
      </c>
      <c r="O47" s="4">
        <f>+'202401anual'!G94</f>
        <v>3428500</v>
      </c>
      <c r="P47" s="4">
        <f>1341600+382141.97-2695000+10110500</f>
        <v>9139241.9700000007</v>
      </c>
      <c r="Q47" s="4">
        <f t="shared" si="30"/>
        <v>-5710741.9700000007</v>
      </c>
      <c r="R47" s="4">
        <f>+'202401anual'!H94</f>
        <v>3428500</v>
      </c>
      <c r="S47" s="4"/>
      <c r="T47" s="4">
        <f t="shared" si="31"/>
        <v>3428500</v>
      </c>
      <c r="U47" s="4"/>
      <c r="V47" s="4"/>
      <c r="W47" s="4"/>
      <c r="X47" s="4"/>
      <c r="Y47" s="4"/>
      <c r="Z47" s="4"/>
      <c r="AA47" s="4">
        <f t="shared" si="32"/>
        <v>20629000</v>
      </c>
      <c r="AB47" s="4">
        <f t="shared" si="32"/>
        <v>9139241.9700000007</v>
      </c>
      <c r="AC47" s="4">
        <f t="shared" si="33"/>
        <v>11489758.029999999</v>
      </c>
      <c r="AD47" s="43">
        <f t="shared" si="34"/>
        <v>55.697115856318767</v>
      </c>
      <c r="AE47" s="34"/>
      <c r="AF47" s="38"/>
      <c r="AG47" s="38"/>
      <c r="AH47" s="2"/>
      <c r="AI47" s="2"/>
    </row>
    <row r="48" spans="1:38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18"/>
        <v>33740</v>
      </c>
      <c r="F48" s="4">
        <f>+'202401anual'!D95</f>
        <v>666666.66666666663</v>
      </c>
      <c r="G48" s="4">
        <v>762230</v>
      </c>
      <c r="H48" s="4">
        <f t="shared" si="19"/>
        <v>-95563.333333333372</v>
      </c>
      <c r="I48" s="4">
        <f>+'202401anual'!E95</f>
        <v>666666.66666666663</v>
      </c>
      <c r="J48" s="4">
        <f>+[6]EjecucionPptalPasiva!$Q$285</f>
        <v>610639</v>
      </c>
      <c r="K48" s="4">
        <f t="shared" si="28"/>
        <v>56027.666666666628</v>
      </c>
      <c r="L48" s="4">
        <f>+'202401anual'!F95</f>
        <v>666666.66666666663</v>
      </c>
      <c r="M48" s="4">
        <f>+[5]EjecucionPptalPasiva!$Q$285</f>
        <v>703510</v>
      </c>
      <c r="N48" s="4">
        <f t="shared" si="29"/>
        <v>-36843.333333333372</v>
      </c>
      <c r="O48" s="4">
        <f>+'202401anual'!G95</f>
        <v>666666.66666666663</v>
      </c>
      <c r="P48" s="4">
        <v>610873</v>
      </c>
      <c r="Q48" s="4">
        <f t="shared" si="30"/>
        <v>55793.666666666628</v>
      </c>
      <c r="R48" s="4">
        <f>+'202401anual'!H95</f>
        <v>666666.66666666663</v>
      </c>
      <c r="S48" s="4"/>
      <c r="T48" s="4">
        <f t="shared" si="31"/>
        <v>666666.66666666663</v>
      </c>
      <c r="U48" s="4"/>
      <c r="V48" s="4"/>
      <c r="W48" s="4"/>
      <c r="X48" s="4"/>
      <c r="Y48" s="4"/>
      <c r="Z48" s="4"/>
      <c r="AA48" s="4">
        <f t="shared" si="32"/>
        <v>3833333.3333333326</v>
      </c>
      <c r="AB48" s="4">
        <f t="shared" si="32"/>
        <v>3153512</v>
      </c>
      <c r="AC48" s="4">
        <f t="shared" si="33"/>
        <v>679821.33333333256</v>
      </c>
      <c r="AD48" s="43">
        <f t="shared" si="34"/>
        <v>17.734469565217374</v>
      </c>
      <c r="AE48" s="34"/>
      <c r="AF48" s="38"/>
      <c r="AG48" s="38"/>
      <c r="AH48" s="2"/>
      <c r="AI48" s="2"/>
    </row>
    <row r="49" spans="1:35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18"/>
        <v>0</v>
      </c>
      <c r="F49" s="4">
        <f>+'202401anual'!D96</f>
        <v>13000000</v>
      </c>
      <c r="G49" s="4"/>
      <c r="H49" s="4">
        <f t="shared" si="19"/>
        <v>13000000</v>
      </c>
      <c r="I49" s="4">
        <f>+'202401anual'!E96</f>
        <v>0</v>
      </c>
      <c r="J49" s="4"/>
      <c r="K49" s="4">
        <f t="shared" si="28"/>
        <v>0</v>
      </c>
      <c r="L49" s="4">
        <f>+'202401anual'!F96</f>
        <v>0</v>
      </c>
      <c r="M49" s="4">
        <v>0</v>
      </c>
      <c r="N49" s="4">
        <f t="shared" si="29"/>
        <v>0</v>
      </c>
      <c r="O49" s="4">
        <f>+'202401anual'!G96</f>
        <v>15930000</v>
      </c>
      <c r="P49" s="4">
        <v>527000</v>
      </c>
      <c r="Q49" s="4">
        <f t="shared" si="30"/>
        <v>15403000</v>
      </c>
      <c r="R49" s="4">
        <f>+'202401anual'!H96</f>
        <v>13000000</v>
      </c>
      <c r="S49" s="4"/>
      <c r="T49" s="4">
        <f t="shared" si="31"/>
        <v>13000000</v>
      </c>
      <c r="U49" s="4"/>
      <c r="V49" s="4"/>
      <c r="W49" s="4"/>
      <c r="X49" s="4"/>
      <c r="Y49" s="4"/>
      <c r="Z49" s="4"/>
      <c r="AA49" s="4">
        <f t="shared" si="32"/>
        <v>41930000</v>
      </c>
      <c r="AB49" s="4">
        <f t="shared" si="32"/>
        <v>527000</v>
      </c>
      <c r="AC49" s="4">
        <f t="shared" si="33"/>
        <v>41403000</v>
      </c>
      <c r="AD49" s="43">
        <v>0</v>
      </c>
      <c r="AE49" s="34"/>
      <c r="AF49" s="38"/>
      <c r="AG49" s="38"/>
      <c r="AH49" s="2"/>
      <c r="AI49" s="2"/>
    </row>
    <row r="50" spans="1:35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18"/>
        <v>-281894</v>
      </c>
      <c r="F50" s="4">
        <f>+'202401anual'!D98</f>
        <v>6463000</v>
      </c>
      <c r="G50" s="4">
        <v>4201894</v>
      </c>
      <c r="H50" s="4">
        <f t="shared" si="19"/>
        <v>2261106</v>
      </c>
      <c r="I50" s="4">
        <f>+'202401anual'!E98</f>
        <v>6463000</v>
      </c>
      <c r="J50" s="4">
        <v>4201894</v>
      </c>
      <c r="K50" s="4">
        <f t="shared" si="28"/>
        <v>2261106</v>
      </c>
      <c r="L50" s="4">
        <f>+'202401anual'!F98</f>
        <v>6463000</v>
      </c>
      <c r="M50" s="4">
        <v>4201894</v>
      </c>
      <c r="N50" s="4">
        <f t="shared" si="29"/>
        <v>2261106</v>
      </c>
      <c r="O50" s="4">
        <f>+'202401anual'!G98</f>
        <v>10925600</v>
      </c>
      <c r="P50" s="4">
        <v>4201894</v>
      </c>
      <c r="Q50" s="4">
        <f t="shared" si="30"/>
        <v>6723706</v>
      </c>
      <c r="R50" s="4">
        <f>+'202401anual'!H98</f>
        <v>6463000</v>
      </c>
      <c r="S50" s="4"/>
      <c r="T50" s="4">
        <f t="shared" si="31"/>
        <v>6463000</v>
      </c>
      <c r="U50" s="4"/>
      <c r="V50" s="4"/>
      <c r="W50" s="4"/>
      <c r="X50" s="4"/>
      <c r="Y50" s="4"/>
      <c r="Z50" s="4"/>
      <c r="AA50" s="4">
        <f t="shared" si="32"/>
        <v>40697600</v>
      </c>
      <c r="AB50" s="4">
        <f t="shared" si="32"/>
        <v>21009470</v>
      </c>
      <c r="AC50" s="4">
        <f t="shared" si="33"/>
        <v>19688130</v>
      </c>
      <c r="AD50" s="43">
        <f t="shared" si="34"/>
        <v>48.376636460135245</v>
      </c>
      <c r="AE50" s="34">
        <f>+D50+D53+D85+D86</f>
        <v>63447894</v>
      </c>
      <c r="AF50" s="38">
        <f>+C50+C52+C53+C54+C58+C66+C74+C85+C86</f>
        <v>83125000</v>
      </c>
      <c r="AG50" s="38"/>
      <c r="AH50" s="2"/>
      <c r="AI50" s="2"/>
    </row>
    <row r="51" spans="1:35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18"/>
        <v>0</v>
      </c>
      <c r="F51" s="4">
        <f>+'202401anual'!D99</f>
        <v>0</v>
      </c>
      <c r="G51" s="4"/>
      <c r="H51" s="4">
        <f t="shared" si="19"/>
        <v>0</v>
      </c>
      <c r="I51" s="4">
        <f>+'202401anual'!E99</f>
        <v>0</v>
      </c>
      <c r="J51" s="4"/>
      <c r="K51" s="4">
        <f t="shared" si="28"/>
        <v>0</v>
      </c>
      <c r="L51" s="4">
        <f>+'202401anual'!F99</f>
        <v>0</v>
      </c>
      <c r="M51" s="4"/>
      <c r="N51" s="4">
        <f t="shared" si="29"/>
        <v>0</v>
      </c>
      <c r="O51" s="4">
        <f>+'202401anual'!G99</f>
        <v>0</v>
      </c>
      <c r="P51" s="4"/>
      <c r="Q51" s="4">
        <f t="shared" si="30"/>
        <v>0</v>
      </c>
      <c r="R51" s="4">
        <f>+'202401anual'!H99</f>
        <v>0</v>
      </c>
      <c r="S51" s="4"/>
      <c r="T51" s="4">
        <f t="shared" si="31"/>
        <v>0</v>
      </c>
      <c r="U51" s="4"/>
      <c r="V51" s="4"/>
      <c r="W51" s="4"/>
      <c r="X51" s="4"/>
      <c r="Y51" s="4"/>
      <c r="Z51" s="4"/>
      <c r="AA51" s="4">
        <f t="shared" si="32"/>
        <v>0</v>
      </c>
      <c r="AB51" s="4">
        <f t="shared" si="32"/>
        <v>0</v>
      </c>
      <c r="AC51" s="4">
        <f t="shared" si="33"/>
        <v>0</v>
      </c>
      <c r="AD51" s="43" t="e">
        <f t="shared" si="34"/>
        <v>#DIV/0!</v>
      </c>
      <c r="AE51" s="34"/>
      <c r="AF51" s="38"/>
      <c r="AG51" s="38"/>
      <c r="AH51" s="2"/>
      <c r="AI51" s="2"/>
    </row>
    <row r="52" spans="1:35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18"/>
        <v>3320000</v>
      </c>
      <c r="F52" s="4">
        <f>+'202401anual'!D100</f>
        <v>3789200</v>
      </c>
      <c r="G52" s="4">
        <v>3567900</v>
      </c>
      <c r="H52" s="4">
        <f t="shared" si="19"/>
        <v>221300</v>
      </c>
      <c r="I52" s="4">
        <f>+'202401anual'!E100</f>
        <v>3789200</v>
      </c>
      <c r="J52" s="4">
        <v>3567900</v>
      </c>
      <c r="K52" s="4">
        <f t="shared" si="28"/>
        <v>221300</v>
      </c>
      <c r="L52" s="4">
        <f>+'202401anual'!F100</f>
        <v>4623000</v>
      </c>
      <c r="M52" s="4">
        <v>0</v>
      </c>
      <c r="N52" s="4">
        <f t="shared" si="29"/>
        <v>4623000</v>
      </c>
      <c r="O52" s="4">
        <f>+'202401anual'!G100</f>
        <v>8789200</v>
      </c>
      <c r="P52" s="4">
        <f>3567900*2</f>
        <v>7135800</v>
      </c>
      <c r="Q52" s="4">
        <f t="shared" si="30"/>
        <v>1653400</v>
      </c>
      <c r="R52" s="4">
        <f>+'202401anual'!H100</f>
        <v>3789200</v>
      </c>
      <c r="S52" s="4"/>
      <c r="T52" s="4">
        <f t="shared" si="31"/>
        <v>3789200</v>
      </c>
      <c r="U52" s="4"/>
      <c r="V52" s="4"/>
      <c r="W52" s="4"/>
      <c r="X52" s="4"/>
      <c r="Y52" s="4"/>
      <c r="Z52" s="4"/>
      <c r="AA52" s="4">
        <f t="shared" si="32"/>
        <v>28099800</v>
      </c>
      <c r="AB52" s="4">
        <f t="shared" si="32"/>
        <v>14271600</v>
      </c>
      <c r="AC52" s="4">
        <f t="shared" si="33"/>
        <v>13828200</v>
      </c>
      <c r="AD52" s="43">
        <f t="shared" si="34"/>
        <v>49.211026412999381</v>
      </c>
      <c r="AE52" s="34"/>
      <c r="AF52" s="38"/>
      <c r="AG52" s="38"/>
      <c r="AH52" s="2"/>
      <c r="AI52" s="2"/>
    </row>
    <row r="53" spans="1:35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18"/>
        <v>0</v>
      </c>
      <c r="F53" s="4">
        <f>+'202401anual'!D102</f>
        <v>3789200</v>
      </c>
      <c r="G53" s="4">
        <v>3764068</v>
      </c>
      <c r="H53" s="4">
        <f t="shared" si="19"/>
        <v>25132</v>
      </c>
      <c r="I53" s="4">
        <f>+'202401anual'!E102</f>
        <v>3789200</v>
      </c>
      <c r="J53" s="4">
        <v>3557034</v>
      </c>
      <c r="K53" s="4">
        <f t="shared" si="28"/>
        <v>232166</v>
      </c>
      <c r="L53" s="4">
        <f>+'202401anual'!F102</f>
        <v>3789200</v>
      </c>
      <c r="M53" s="4">
        <v>3557034</v>
      </c>
      <c r="N53" s="4">
        <f t="shared" si="29"/>
        <v>232166</v>
      </c>
      <c r="O53" s="4">
        <f>+'202401anual'!G102</f>
        <v>3789200</v>
      </c>
      <c r="P53" s="4">
        <v>3557034</v>
      </c>
      <c r="Q53" s="4">
        <f t="shared" si="30"/>
        <v>232166</v>
      </c>
      <c r="R53" s="4">
        <f>+'202401anual'!H102</f>
        <v>3789200</v>
      </c>
      <c r="S53" s="4"/>
      <c r="T53" s="4">
        <f t="shared" si="31"/>
        <v>3789200</v>
      </c>
      <c r="U53" s="4"/>
      <c r="V53" s="4"/>
      <c r="W53" s="4"/>
      <c r="X53" s="4"/>
      <c r="Y53" s="4"/>
      <c r="Z53" s="4"/>
      <c r="AA53" s="4">
        <f t="shared" si="32"/>
        <v>22296000</v>
      </c>
      <c r="AB53" s="4">
        <f t="shared" si="32"/>
        <v>17785170</v>
      </c>
      <c r="AC53" s="4">
        <f t="shared" si="33"/>
        <v>4510830</v>
      </c>
      <c r="AD53" s="43">
        <f t="shared" si="34"/>
        <v>20.231566200215283</v>
      </c>
      <c r="AE53" s="34"/>
      <c r="AF53" s="38"/>
      <c r="AG53" s="38"/>
      <c r="AH53" s="2"/>
      <c r="AI53" s="2"/>
    </row>
    <row r="54" spans="1:35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18"/>
        <v>3340000</v>
      </c>
      <c r="F54" s="4">
        <f>+'202401anual'!D103</f>
        <v>0</v>
      </c>
      <c r="G54" s="4">
        <v>3567900</v>
      </c>
      <c r="H54" s="4">
        <f t="shared" si="19"/>
        <v>-3567900</v>
      </c>
      <c r="I54" s="4">
        <f>+'202401anual'!E103</f>
        <v>0</v>
      </c>
      <c r="J54" s="4">
        <v>3567900</v>
      </c>
      <c r="K54" s="4">
        <f t="shared" si="28"/>
        <v>-3567900</v>
      </c>
      <c r="L54" s="4">
        <f>+'202401anual'!F103</f>
        <v>0</v>
      </c>
      <c r="M54" s="4">
        <v>3567900</v>
      </c>
      <c r="N54" s="4">
        <f t="shared" si="29"/>
        <v>-3567900</v>
      </c>
      <c r="O54" s="4">
        <f>+'202401anual'!G103</f>
        <v>0</v>
      </c>
      <c r="P54" s="4">
        <v>3567900</v>
      </c>
      <c r="Q54" s="4">
        <f t="shared" si="30"/>
        <v>-3567900</v>
      </c>
      <c r="R54" s="4">
        <f>+'202401anual'!H103</f>
        <v>0</v>
      </c>
      <c r="S54" s="4"/>
      <c r="T54" s="4">
        <f t="shared" si="31"/>
        <v>0</v>
      </c>
      <c r="U54" s="4"/>
      <c r="V54" s="4"/>
      <c r="W54" s="4"/>
      <c r="X54" s="4"/>
      <c r="Y54" s="4"/>
      <c r="Z54" s="4"/>
      <c r="AA54" s="4">
        <f t="shared" si="32"/>
        <v>3340000</v>
      </c>
      <c r="AB54" s="4">
        <f t="shared" si="32"/>
        <v>14271600</v>
      </c>
      <c r="AC54" s="4">
        <f t="shared" si="33"/>
        <v>-10931600</v>
      </c>
      <c r="AD54" s="43">
        <f t="shared" si="34"/>
        <v>-327.29341317365265</v>
      </c>
      <c r="AE54" s="34"/>
      <c r="AF54" s="38"/>
      <c r="AG54" s="38"/>
      <c r="AH54" s="2"/>
      <c r="AI54" s="2"/>
    </row>
    <row r="55" spans="1:35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18"/>
        <v>1700000</v>
      </c>
      <c r="F55" s="4">
        <f>+'202401anual'!D104</f>
        <v>8208393.166666667</v>
      </c>
      <c r="G55" s="4"/>
      <c r="H55" s="4">
        <f t="shared" si="19"/>
        <v>8208393.166666667</v>
      </c>
      <c r="I55" s="4">
        <f>+'202401anual'!E104</f>
        <v>8208393.166666667</v>
      </c>
      <c r="J55" s="4"/>
      <c r="K55" s="4">
        <f t="shared" si="28"/>
        <v>8208393.166666667</v>
      </c>
      <c r="L55" s="4">
        <f>+'202401anual'!F104</f>
        <v>8208393.166666667</v>
      </c>
      <c r="M55" s="4">
        <f>+[5]EjecucionPptalPasiva!$Q$399</f>
        <v>1400000</v>
      </c>
      <c r="N55" s="4">
        <f t="shared" si="29"/>
        <v>6808393.166666667</v>
      </c>
      <c r="O55" s="4">
        <f>+'202401anual'!G104</f>
        <v>5867900</v>
      </c>
      <c r="P55" s="4">
        <v>0</v>
      </c>
      <c r="Q55" s="4">
        <f t="shared" si="30"/>
        <v>5867900</v>
      </c>
      <c r="R55" s="4">
        <f>+'202401anual'!H104</f>
        <v>5867900</v>
      </c>
      <c r="S55" s="4"/>
      <c r="T55" s="4">
        <f t="shared" si="31"/>
        <v>5867900</v>
      </c>
      <c r="U55" s="4"/>
      <c r="V55" s="4"/>
      <c r="W55" s="4"/>
      <c r="X55" s="4"/>
      <c r="Y55" s="4"/>
      <c r="Z55" s="4"/>
      <c r="AA55" s="4">
        <f t="shared" si="32"/>
        <v>38060979.5</v>
      </c>
      <c r="AB55" s="4">
        <f t="shared" si="32"/>
        <v>1400000</v>
      </c>
      <c r="AC55" s="4">
        <f t="shared" si="33"/>
        <v>36660979.5</v>
      </c>
      <c r="AD55" s="43">
        <f t="shared" si="34"/>
        <v>96.321692141422687</v>
      </c>
      <c r="AE55" s="34"/>
      <c r="AF55" s="38"/>
      <c r="AG55" s="38"/>
      <c r="AH55" s="2"/>
      <c r="AI55" s="2"/>
    </row>
    <row r="56" spans="1:35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18"/>
        <v>0</v>
      </c>
      <c r="F56" s="4">
        <f>+'202401anual'!D105</f>
        <v>500000</v>
      </c>
      <c r="G56" s="4"/>
      <c r="H56" s="4">
        <f t="shared" si="19"/>
        <v>500000</v>
      </c>
      <c r="I56" s="4">
        <f>+'202401anual'!E105</f>
        <v>500000</v>
      </c>
      <c r="J56" s="4"/>
      <c r="K56" s="4">
        <f t="shared" si="28"/>
        <v>500000</v>
      </c>
      <c r="L56" s="4">
        <f>+'202401anual'!F105</f>
        <v>500000</v>
      </c>
      <c r="M56" s="4">
        <v>0</v>
      </c>
      <c r="N56" s="4">
        <f t="shared" si="29"/>
        <v>500000</v>
      </c>
      <c r="O56" s="4">
        <f>+'202401anual'!G105</f>
        <v>0</v>
      </c>
      <c r="P56" s="4">
        <v>0</v>
      </c>
      <c r="Q56" s="4">
        <f t="shared" si="30"/>
        <v>0</v>
      </c>
      <c r="R56" s="4">
        <f>+'202401anual'!H105</f>
        <v>500000</v>
      </c>
      <c r="S56" s="4"/>
      <c r="T56" s="4">
        <f t="shared" si="31"/>
        <v>500000</v>
      </c>
      <c r="U56" s="4"/>
      <c r="V56" s="4"/>
      <c r="W56" s="4"/>
      <c r="X56" s="4"/>
      <c r="Y56" s="4"/>
      <c r="Z56" s="4"/>
      <c r="AA56" s="4">
        <f t="shared" si="32"/>
        <v>2000000</v>
      </c>
      <c r="AB56" s="4">
        <f t="shared" si="32"/>
        <v>0</v>
      </c>
      <c r="AC56" s="4">
        <f t="shared" si="33"/>
        <v>2000000</v>
      </c>
      <c r="AD56" s="43">
        <v>0</v>
      </c>
      <c r="AE56" s="34"/>
      <c r="AF56" s="38"/>
      <c r="AG56" s="38"/>
      <c r="AH56" s="2"/>
      <c r="AI56" s="2"/>
    </row>
    <row r="57" spans="1:35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18"/>
        <v>0</v>
      </c>
      <c r="F57" s="4">
        <f>+'202401anual'!D106</f>
        <v>0</v>
      </c>
      <c r="G57" s="4"/>
      <c r="H57" s="4">
        <f t="shared" si="19"/>
        <v>0</v>
      </c>
      <c r="I57" s="4">
        <f>+'202401anual'!E106</f>
        <v>0</v>
      </c>
      <c r="J57" s="4">
        <f>+[6]EjecucionPptalPasiva!$Q$287</f>
        <v>1070000</v>
      </c>
      <c r="K57" s="4">
        <f t="shared" si="28"/>
        <v>-1070000</v>
      </c>
      <c r="L57" s="4">
        <f>+'202401anual'!F106</f>
        <v>0</v>
      </c>
      <c r="M57" s="4">
        <v>0</v>
      </c>
      <c r="N57" s="4">
        <f t="shared" si="29"/>
        <v>0</v>
      </c>
      <c r="O57" s="4">
        <f>+'202401anual'!G106</f>
        <v>500000</v>
      </c>
      <c r="P57" s="4">
        <v>0</v>
      </c>
      <c r="Q57" s="4">
        <f t="shared" si="30"/>
        <v>500000</v>
      </c>
      <c r="R57" s="4">
        <f>+'202401anual'!H106</f>
        <v>1090000</v>
      </c>
      <c r="S57" s="4"/>
      <c r="T57" s="4">
        <f t="shared" si="31"/>
        <v>1090000</v>
      </c>
      <c r="U57" s="4"/>
      <c r="V57" s="4"/>
      <c r="W57" s="4"/>
      <c r="X57" s="4"/>
      <c r="Y57" s="4"/>
      <c r="Z57" s="4"/>
      <c r="AA57" s="4">
        <f t="shared" si="32"/>
        <v>1590000</v>
      </c>
      <c r="AB57" s="4">
        <f t="shared" si="32"/>
        <v>1070000</v>
      </c>
      <c r="AC57" s="4">
        <f t="shared" si="33"/>
        <v>520000</v>
      </c>
      <c r="AD57" s="43">
        <v>0</v>
      </c>
      <c r="AE57" s="34"/>
      <c r="AF57" s="38"/>
      <c r="AG57" s="38"/>
      <c r="AH57" s="2"/>
      <c r="AI57" s="2"/>
    </row>
    <row r="58" spans="1:35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18"/>
        <v>2000000</v>
      </c>
      <c r="F58" s="4">
        <f>+'202401anual'!D107</f>
        <v>0</v>
      </c>
      <c r="G58" s="4"/>
      <c r="H58" s="4">
        <f t="shared" si="19"/>
        <v>0</v>
      </c>
      <c r="I58" s="4">
        <f>+'202401anual'!E107</f>
        <v>0</v>
      </c>
      <c r="J58" s="4"/>
      <c r="K58" s="4">
        <f t="shared" si="28"/>
        <v>0</v>
      </c>
      <c r="L58" s="4">
        <f>+'202401anual'!F107</f>
        <v>0</v>
      </c>
      <c r="M58" s="4">
        <v>0</v>
      </c>
      <c r="N58" s="4">
        <f t="shared" si="29"/>
        <v>0</v>
      </c>
      <c r="O58" s="4">
        <f>+'202401anual'!G107</f>
        <v>0</v>
      </c>
      <c r="P58" s="4">
        <v>0</v>
      </c>
      <c r="Q58" s="4">
        <f t="shared" si="30"/>
        <v>0</v>
      </c>
      <c r="R58" s="4">
        <f>+'202401anual'!H107</f>
        <v>0</v>
      </c>
      <c r="S58" s="4"/>
      <c r="T58" s="4">
        <f t="shared" si="31"/>
        <v>0</v>
      </c>
      <c r="U58" s="4"/>
      <c r="V58" s="4"/>
      <c r="W58" s="4"/>
      <c r="X58" s="4"/>
      <c r="Y58" s="4"/>
      <c r="Z58" s="4"/>
      <c r="AA58" s="4">
        <f t="shared" si="32"/>
        <v>2000000</v>
      </c>
      <c r="AB58" s="4">
        <f t="shared" si="32"/>
        <v>0</v>
      </c>
      <c r="AC58" s="4">
        <f t="shared" si="33"/>
        <v>2000000</v>
      </c>
      <c r="AD58" s="43">
        <f t="shared" si="34"/>
        <v>100</v>
      </c>
      <c r="AE58" s="34"/>
      <c r="AF58" s="38"/>
      <c r="AG58" s="38"/>
      <c r="AH58" s="2"/>
      <c r="AI58" s="2"/>
    </row>
    <row r="59" spans="1:35" hidden="1" x14ac:dyDescent="0.25">
      <c r="A59" s="5" t="s">
        <v>28</v>
      </c>
      <c r="B59" s="4"/>
      <c r="C59" s="4">
        <v>0</v>
      </c>
      <c r="D59" s="4">
        <v>0</v>
      </c>
      <c r="E59" s="4">
        <f t="shared" si="18"/>
        <v>0</v>
      </c>
      <c r="F59" s="4">
        <f>+'202401anual'!D108</f>
        <v>0</v>
      </c>
      <c r="G59" s="4"/>
      <c r="H59" s="4">
        <f t="shared" si="19"/>
        <v>0</v>
      </c>
      <c r="I59" s="4">
        <f>+'202401anual'!E108</f>
        <v>0</v>
      </c>
      <c r="J59" s="4"/>
      <c r="K59" s="4">
        <f t="shared" si="28"/>
        <v>0</v>
      </c>
      <c r="L59" s="4">
        <f>+'202401anual'!F108</f>
        <v>0</v>
      </c>
      <c r="M59" s="4"/>
      <c r="N59" s="4">
        <f t="shared" si="29"/>
        <v>0</v>
      </c>
      <c r="O59" s="4">
        <f>+'202401anual'!G108</f>
        <v>0</v>
      </c>
      <c r="P59" s="4"/>
      <c r="Q59" s="4">
        <f t="shared" si="30"/>
        <v>0</v>
      </c>
      <c r="R59" s="4">
        <f>+'202401anual'!H108</f>
        <v>0</v>
      </c>
      <c r="S59" s="4"/>
      <c r="T59" s="4">
        <f t="shared" si="31"/>
        <v>0</v>
      </c>
      <c r="U59" s="4"/>
      <c r="V59" s="4"/>
      <c r="W59" s="4"/>
      <c r="X59" s="4"/>
      <c r="Y59" s="4"/>
      <c r="Z59" s="4"/>
      <c r="AA59" s="4">
        <f t="shared" si="32"/>
        <v>0</v>
      </c>
      <c r="AB59" s="4">
        <f t="shared" si="32"/>
        <v>0</v>
      </c>
      <c r="AC59" s="4">
        <f t="shared" si="33"/>
        <v>0</v>
      </c>
      <c r="AD59" s="43" t="e">
        <f t="shared" si="34"/>
        <v>#DIV/0!</v>
      </c>
      <c r="AE59" s="34"/>
      <c r="AF59" s="38"/>
      <c r="AG59" s="38"/>
      <c r="AH59" s="2"/>
      <c r="AI59" s="2"/>
    </row>
    <row r="60" spans="1:35" hidden="1" x14ac:dyDescent="0.25">
      <c r="A60" s="5" t="s">
        <v>29</v>
      </c>
      <c r="B60" s="4"/>
      <c r="C60" s="4"/>
      <c r="D60" s="4"/>
      <c r="E60" s="4">
        <f t="shared" si="18"/>
        <v>0</v>
      </c>
      <c r="F60" s="4">
        <f>+'202401anual'!D109</f>
        <v>0</v>
      </c>
      <c r="G60" s="4"/>
      <c r="H60" s="4">
        <f t="shared" si="19"/>
        <v>0</v>
      </c>
      <c r="I60" s="4">
        <f>+'202401anual'!E109</f>
        <v>0</v>
      </c>
      <c r="J60" s="4"/>
      <c r="K60" s="4">
        <f t="shared" si="28"/>
        <v>0</v>
      </c>
      <c r="L60" s="4">
        <f>+'202401anual'!F109</f>
        <v>0</v>
      </c>
      <c r="M60" s="4"/>
      <c r="N60" s="4">
        <f t="shared" si="29"/>
        <v>0</v>
      </c>
      <c r="O60" s="4">
        <f>+'202401anual'!G109</f>
        <v>0</v>
      </c>
      <c r="P60" s="4"/>
      <c r="Q60" s="4">
        <f t="shared" si="30"/>
        <v>0</v>
      </c>
      <c r="R60" s="4">
        <f>+'202401anual'!H109</f>
        <v>0</v>
      </c>
      <c r="S60" s="4"/>
      <c r="T60" s="4">
        <f t="shared" si="31"/>
        <v>0</v>
      </c>
      <c r="U60" s="4"/>
      <c r="V60" s="4"/>
      <c r="W60" s="4"/>
      <c r="X60" s="4"/>
      <c r="Y60" s="4"/>
      <c r="Z60" s="4"/>
      <c r="AA60" s="4">
        <f t="shared" si="32"/>
        <v>0</v>
      </c>
      <c r="AB60" s="4">
        <f t="shared" si="32"/>
        <v>0</v>
      </c>
      <c r="AC60" s="4">
        <f t="shared" si="33"/>
        <v>0</v>
      </c>
      <c r="AD60" s="43" t="e">
        <f t="shared" si="34"/>
        <v>#DIV/0!</v>
      </c>
      <c r="AE60" s="34"/>
      <c r="AF60" s="38"/>
      <c r="AG60" s="38"/>
      <c r="AH60" s="2"/>
      <c r="AI60" s="2"/>
    </row>
    <row r="61" spans="1:35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18"/>
        <v>100000</v>
      </c>
      <c r="F61" s="4">
        <f>+'202401anual'!D110</f>
        <v>0</v>
      </c>
      <c r="G61" s="4">
        <v>183000</v>
      </c>
      <c r="H61" s="4">
        <f t="shared" si="19"/>
        <v>-183000</v>
      </c>
      <c r="I61" s="4">
        <f>+'202401anual'!E110</f>
        <v>3500000</v>
      </c>
      <c r="J61" s="4">
        <f>+[6]EjecucionPptalPasiva!$Q$281</f>
        <v>1080000</v>
      </c>
      <c r="K61" s="4">
        <f t="shared" si="28"/>
        <v>2420000</v>
      </c>
      <c r="L61" s="4">
        <f>+'202401anual'!F110</f>
        <v>3500000</v>
      </c>
      <c r="M61" s="4">
        <f>+[5]EjecucionPptalPasiva!$Q$281</f>
        <v>5109000</v>
      </c>
      <c r="N61" s="4">
        <f t="shared" si="29"/>
        <v>-1609000</v>
      </c>
      <c r="O61" s="4">
        <f>+'202401anual'!G110</f>
        <v>5500000</v>
      </c>
      <c r="P61" s="4">
        <v>5730000</v>
      </c>
      <c r="Q61" s="4">
        <f t="shared" si="30"/>
        <v>-230000</v>
      </c>
      <c r="R61" s="4">
        <f>+'202401anual'!H110</f>
        <v>0</v>
      </c>
      <c r="S61" s="4"/>
      <c r="T61" s="4">
        <f t="shared" si="31"/>
        <v>0</v>
      </c>
      <c r="U61" s="4"/>
      <c r="V61" s="4"/>
      <c r="W61" s="4"/>
      <c r="X61" s="4"/>
      <c r="Y61" s="4"/>
      <c r="Z61" s="4"/>
      <c r="AA61" s="4">
        <f t="shared" si="32"/>
        <v>12600000</v>
      </c>
      <c r="AB61" s="4">
        <f t="shared" si="32"/>
        <v>12102000</v>
      </c>
      <c r="AC61" s="4">
        <f t="shared" si="33"/>
        <v>498000</v>
      </c>
      <c r="AD61" s="43">
        <f t="shared" si="34"/>
        <v>3.9523809523809526</v>
      </c>
      <c r="AE61" s="34"/>
      <c r="AF61" s="38"/>
      <c r="AG61" s="38"/>
      <c r="AH61" s="2"/>
      <c r="AI61" s="2"/>
    </row>
    <row r="62" spans="1:35" hidden="1" x14ac:dyDescent="0.25">
      <c r="A62" s="5" t="s">
        <v>30</v>
      </c>
      <c r="B62" s="4"/>
      <c r="C62" s="4"/>
      <c r="D62" s="4"/>
      <c r="E62" s="4">
        <f t="shared" si="18"/>
        <v>0</v>
      </c>
      <c r="F62" s="4" t="e">
        <f>+'202401anual'!#REF!</f>
        <v>#REF!</v>
      </c>
      <c r="G62" s="4"/>
      <c r="H62" s="4" t="e">
        <f t="shared" si="19"/>
        <v>#REF!</v>
      </c>
      <c r="I62" s="4" t="e">
        <f>+'202401anual'!#REF!</f>
        <v>#REF!</v>
      </c>
      <c r="J62" s="4"/>
      <c r="K62" s="4" t="e">
        <f t="shared" si="28"/>
        <v>#REF!</v>
      </c>
      <c r="L62" s="4" t="e">
        <f>+'202401anual'!#REF!</f>
        <v>#REF!</v>
      </c>
      <c r="M62" s="4"/>
      <c r="N62" s="4" t="e">
        <f t="shared" si="29"/>
        <v>#REF!</v>
      </c>
      <c r="O62" s="4" t="e">
        <f>+'202401anual'!#REF!</f>
        <v>#REF!</v>
      </c>
      <c r="P62" s="4"/>
      <c r="Q62" s="4" t="e">
        <f t="shared" si="30"/>
        <v>#REF!</v>
      </c>
      <c r="R62" s="4" t="e">
        <f>+'202401anual'!#REF!</f>
        <v>#REF!</v>
      </c>
      <c r="S62" s="4"/>
      <c r="T62" s="4" t="e">
        <f t="shared" si="31"/>
        <v>#REF!</v>
      </c>
      <c r="U62" s="4"/>
      <c r="V62" s="4"/>
      <c r="W62" s="4"/>
      <c r="X62" s="4"/>
      <c r="Y62" s="4"/>
      <c r="Z62" s="4"/>
      <c r="AA62" s="4" t="e">
        <f t="shared" si="32"/>
        <v>#REF!</v>
      </c>
      <c r="AB62" s="4">
        <f t="shared" si="32"/>
        <v>0</v>
      </c>
      <c r="AC62" s="4" t="e">
        <f t="shared" si="33"/>
        <v>#REF!</v>
      </c>
      <c r="AD62" s="43" t="e">
        <f t="shared" si="34"/>
        <v>#REF!</v>
      </c>
      <c r="AE62" s="34"/>
      <c r="AF62" s="38"/>
      <c r="AG62" s="38"/>
      <c r="AH62" s="2"/>
      <c r="AI62" s="2"/>
    </row>
    <row r="63" spans="1:35" hidden="1" x14ac:dyDescent="0.25">
      <c r="A63" s="5" t="s">
        <v>31</v>
      </c>
      <c r="B63" s="4"/>
      <c r="C63" s="4"/>
      <c r="D63" s="4"/>
      <c r="E63" s="4">
        <f t="shared" si="18"/>
        <v>0</v>
      </c>
      <c r="F63" s="4" t="e">
        <f>+'202401anual'!#REF!</f>
        <v>#REF!</v>
      </c>
      <c r="G63" s="4"/>
      <c r="H63" s="4" t="e">
        <f t="shared" si="19"/>
        <v>#REF!</v>
      </c>
      <c r="I63" s="4" t="e">
        <f>+'202401anual'!#REF!</f>
        <v>#REF!</v>
      </c>
      <c r="J63" s="4"/>
      <c r="K63" s="4" t="e">
        <f t="shared" si="28"/>
        <v>#REF!</v>
      </c>
      <c r="L63" s="4" t="e">
        <f>+'202401anual'!#REF!</f>
        <v>#REF!</v>
      </c>
      <c r="M63" s="4"/>
      <c r="N63" s="4" t="e">
        <f t="shared" si="29"/>
        <v>#REF!</v>
      </c>
      <c r="O63" s="4" t="e">
        <f>+'202401anual'!#REF!</f>
        <v>#REF!</v>
      </c>
      <c r="P63" s="4"/>
      <c r="Q63" s="4" t="e">
        <f t="shared" si="30"/>
        <v>#REF!</v>
      </c>
      <c r="R63" s="4" t="e">
        <f>+'202401anual'!#REF!</f>
        <v>#REF!</v>
      </c>
      <c r="S63" s="4"/>
      <c r="T63" s="4" t="e">
        <f t="shared" si="31"/>
        <v>#REF!</v>
      </c>
      <c r="U63" s="4"/>
      <c r="V63" s="4"/>
      <c r="W63" s="4"/>
      <c r="X63" s="4"/>
      <c r="Y63" s="4"/>
      <c r="Z63" s="4"/>
      <c r="AA63" s="4" t="e">
        <f t="shared" si="32"/>
        <v>#REF!</v>
      </c>
      <c r="AB63" s="4">
        <f t="shared" si="32"/>
        <v>0</v>
      </c>
      <c r="AC63" s="4" t="e">
        <f t="shared" si="33"/>
        <v>#REF!</v>
      </c>
      <c r="AD63" s="43" t="e">
        <f t="shared" si="34"/>
        <v>#REF!</v>
      </c>
      <c r="AE63" s="34"/>
      <c r="AF63" s="38"/>
      <c r="AG63" s="38"/>
      <c r="AH63" s="2"/>
      <c r="AI63" s="2"/>
    </row>
    <row r="64" spans="1:35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18"/>
        <v>587200</v>
      </c>
      <c r="F64" s="4">
        <f>+'202401anual'!D111</f>
        <v>0</v>
      </c>
      <c r="G64" s="4"/>
      <c r="H64" s="4">
        <f t="shared" si="19"/>
        <v>0</v>
      </c>
      <c r="I64" s="4">
        <f>+'202401anual'!E111</f>
        <v>0</v>
      </c>
      <c r="J64" s="4"/>
      <c r="K64" s="4">
        <f t="shared" si="28"/>
        <v>0</v>
      </c>
      <c r="L64" s="4">
        <f>+'202401anual'!F111</f>
        <v>1150000</v>
      </c>
      <c r="M64" s="4">
        <v>0</v>
      </c>
      <c r="N64" s="4">
        <f t="shared" si="29"/>
        <v>1150000</v>
      </c>
      <c r="O64" s="4">
        <f>+'202401anual'!G111</f>
        <v>1150000</v>
      </c>
      <c r="P64" s="4">
        <v>0</v>
      </c>
      <c r="Q64" s="4">
        <f t="shared" si="30"/>
        <v>1150000</v>
      </c>
      <c r="R64" s="4">
        <f>+'202401anual'!H111</f>
        <v>0</v>
      </c>
      <c r="S64" s="4"/>
      <c r="T64" s="4">
        <f t="shared" si="31"/>
        <v>0</v>
      </c>
      <c r="U64" s="4"/>
      <c r="V64" s="4"/>
      <c r="W64" s="4"/>
      <c r="X64" s="4"/>
      <c r="Y64" s="4"/>
      <c r="Z64" s="4"/>
      <c r="AA64" s="4">
        <f t="shared" si="32"/>
        <v>5000000</v>
      </c>
      <c r="AB64" s="4">
        <f t="shared" si="32"/>
        <v>2112800</v>
      </c>
      <c r="AC64" s="4">
        <f t="shared" si="33"/>
        <v>2887200</v>
      </c>
      <c r="AD64" s="43">
        <f t="shared" si="34"/>
        <v>57.743999999999993</v>
      </c>
      <c r="AE64" s="34"/>
      <c r="AF64" s="38"/>
      <c r="AG64" s="38"/>
      <c r="AH64" s="2"/>
      <c r="AI64" s="2"/>
    </row>
    <row r="65" spans="1:35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18"/>
        <v>0</v>
      </c>
      <c r="F65" s="4">
        <f>+'202401anual'!D112</f>
        <v>2044000</v>
      </c>
      <c r="G65" s="4"/>
      <c r="H65" s="4">
        <f t="shared" si="19"/>
        <v>2044000</v>
      </c>
      <c r="I65" s="4">
        <f>+'202401anual'!E112</f>
        <v>5000000</v>
      </c>
      <c r="J65" s="4">
        <v>1762283</v>
      </c>
      <c r="K65" s="4">
        <f t="shared" si="28"/>
        <v>3237717</v>
      </c>
      <c r="L65" s="4">
        <f>+'202401anual'!F112</f>
        <v>2044000</v>
      </c>
      <c r="M65" s="4">
        <v>2635657.7999999998</v>
      </c>
      <c r="N65" s="4">
        <f t="shared" si="29"/>
        <v>-591657.79999999981</v>
      </c>
      <c r="O65" s="4">
        <f>+'202401anual'!G112</f>
        <v>2044000</v>
      </c>
      <c r="P65" s="4">
        <v>0</v>
      </c>
      <c r="Q65" s="4">
        <f t="shared" si="30"/>
        <v>2044000</v>
      </c>
      <c r="R65" s="4">
        <f>+'202401anual'!H112</f>
        <v>6000000</v>
      </c>
      <c r="S65" s="4"/>
      <c r="T65" s="4">
        <f t="shared" si="31"/>
        <v>6000000</v>
      </c>
      <c r="U65" s="4"/>
      <c r="V65" s="4"/>
      <c r="W65" s="4"/>
      <c r="X65" s="4"/>
      <c r="Y65" s="4"/>
      <c r="Z65" s="4"/>
      <c r="AA65" s="4">
        <f t="shared" si="32"/>
        <v>17132000</v>
      </c>
      <c r="AB65" s="4">
        <f t="shared" si="32"/>
        <v>4397940.8</v>
      </c>
      <c r="AC65" s="4">
        <f t="shared" si="33"/>
        <v>12734059.199999999</v>
      </c>
      <c r="AD65" s="43">
        <v>0</v>
      </c>
      <c r="AE65" s="34"/>
      <c r="AF65" s="38"/>
      <c r="AG65" s="38"/>
      <c r="AH65" s="2"/>
      <c r="AI65" s="2"/>
    </row>
    <row r="66" spans="1:35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18"/>
        <v>3000000</v>
      </c>
      <c r="F66" s="4">
        <f>+'202401anual'!D113</f>
        <v>0</v>
      </c>
      <c r="G66" s="4"/>
      <c r="H66" s="4">
        <f t="shared" si="19"/>
        <v>0</v>
      </c>
      <c r="I66" s="4">
        <f>+'202401anual'!E113</f>
        <v>0</v>
      </c>
      <c r="J66" s="4"/>
      <c r="K66" s="4">
        <f t="shared" si="28"/>
        <v>0</v>
      </c>
      <c r="L66" s="4">
        <f>+'202401anual'!F113</f>
        <v>0</v>
      </c>
      <c r="M66" s="4">
        <v>0</v>
      </c>
      <c r="N66" s="4">
        <f t="shared" si="29"/>
        <v>0</v>
      </c>
      <c r="O66" s="4">
        <f>+'202401anual'!G113</f>
        <v>0</v>
      </c>
      <c r="P66" s="4">
        <v>0</v>
      </c>
      <c r="Q66" s="4">
        <f t="shared" si="30"/>
        <v>0</v>
      </c>
      <c r="R66" s="4">
        <f>+'202401anual'!H113</f>
        <v>0</v>
      </c>
      <c r="S66" s="4"/>
      <c r="T66" s="4">
        <f t="shared" si="31"/>
        <v>0</v>
      </c>
      <c r="U66" s="4"/>
      <c r="V66" s="4"/>
      <c r="W66" s="4"/>
      <c r="X66" s="4"/>
      <c r="Y66" s="4"/>
      <c r="Z66" s="4"/>
      <c r="AA66" s="4">
        <f t="shared" si="32"/>
        <v>3000000</v>
      </c>
      <c r="AB66" s="4">
        <f t="shared" si="32"/>
        <v>0</v>
      </c>
      <c r="AC66" s="4">
        <f t="shared" si="33"/>
        <v>3000000</v>
      </c>
      <c r="AD66" s="43">
        <f t="shared" si="34"/>
        <v>100</v>
      </c>
      <c r="AE66" s="34"/>
      <c r="AF66" s="38"/>
      <c r="AG66" s="38"/>
      <c r="AH66" s="2"/>
      <c r="AI66" s="2"/>
    </row>
    <row r="67" spans="1:35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18"/>
        <v>-626080</v>
      </c>
      <c r="F67" s="4">
        <f>+'202401anual'!D114</f>
        <v>1500000</v>
      </c>
      <c r="G67" s="4">
        <v>2078688</v>
      </c>
      <c r="H67" s="4">
        <f t="shared" si="19"/>
        <v>-578688</v>
      </c>
      <c r="I67" s="4">
        <f>+'202401anual'!E114</f>
        <v>1200000</v>
      </c>
      <c r="J67" s="4">
        <f>+[6]EjecucionPptalPasiva!$Q$398</f>
        <v>1686820</v>
      </c>
      <c r="K67" s="4">
        <f t="shared" si="28"/>
        <v>-486820</v>
      </c>
      <c r="L67" s="4">
        <f>+'202401anual'!F114</f>
        <v>1200000</v>
      </c>
      <c r="M67" s="4">
        <f>+[5]EjecucionPptalPasiva!$Q$398</f>
        <v>705004</v>
      </c>
      <c r="N67" s="4">
        <f t="shared" si="29"/>
        <v>494996</v>
      </c>
      <c r="O67" s="4">
        <f>+'202401anual'!G114</f>
        <v>1250000</v>
      </c>
      <c r="P67" s="4">
        <f>102312+708000</f>
        <v>810312</v>
      </c>
      <c r="Q67" s="4">
        <f t="shared" si="30"/>
        <v>439688</v>
      </c>
      <c r="R67" s="4">
        <f>+'202401anual'!H114</f>
        <v>1250000</v>
      </c>
      <c r="S67" s="4"/>
      <c r="T67" s="4">
        <f t="shared" si="31"/>
        <v>1250000</v>
      </c>
      <c r="U67" s="4"/>
      <c r="V67" s="4"/>
      <c r="W67" s="4"/>
      <c r="X67" s="4"/>
      <c r="Y67" s="4"/>
      <c r="Z67" s="4"/>
      <c r="AA67" s="4">
        <f t="shared" si="32"/>
        <v>7900000</v>
      </c>
      <c r="AB67" s="4">
        <f t="shared" si="32"/>
        <v>7406904</v>
      </c>
      <c r="AC67" s="4">
        <f t="shared" si="33"/>
        <v>493096</v>
      </c>
      <c r="AD67" s="43">
        <f t="shared" si="34"/>
        <v>6.2417215189873421</v>
      </c>
      <c r="AE67" s="34"/>
      <c r="AF67" s="38"/>
      <c r="AG67" s="38"/>
      <c r="AH67" s="2"/>
      <c r="AI67" s="2"/>
    </row>
    <row r="68" spans="1:35" x14ac:dyDescent="0.25">
      <c r="A68" s="5" t="s">
        <v>110</v>
      </c>
      <c r="B68" s="4">
        <v>4000000</v>
      </c>
      <c r="C68" s="4">
        <v>1500000</v>
      </c>
      <c r="D68" s="4">
        <v>7200</v>
      </c>
      <c r="E68" s="4">
        <f t="shared" si="18"/>
        <v>1492800</v>
      </c>
      <c r="F68" s="4">
        <f>+'202401anual'!D115</f>
        <v>250000</v>
      </c>
      <c r="G68" s="4"/>
      <c r="H68" s="4">
        <f t="shared" si="19"/>
        <v>250000</v>
      </c>
      <c r="I68" s="4">
        <f>+'202401anual'!E115</f>
        <v>250000</v>
      </c>
      <c r="J68" s="4">
        <f>+[6]EjecucionPptalPasiva!$Q$275+[6]EjecucionPptalPasiva!$Q$282</f>
        <v>4967400</v>
      </c>
      <c r="K68" s="4">
        <f t="shared" si="28"/>
        <v>-4717400</v>
      </c>
      <c r="L68" s="4">
        <f>+'202401anual'!F115</f>
        <v>250000</v>
      </c>
      <c r="M68" s="4">
        <f>+[5]EjecucionPptalPasiva!$Q$275</f>
        <v>118960</v>
      </c>
      <c r="N68" s="4">
        <f t="shared" si="29"/>
        <v>131040</v>
      </c>
      <c r="O68" s="4">
        <f>+'202401anual'!G115</f>
        <v>250000</v>
      </c>
      <c r="P68" s="4">
        <v>0</v>
      </c>
      <c r="Q68" s="4">
        <f t="shared" si="30"/>
        <v>250000</v>
      </c>
      <c r="R68" s="4">
        <f>+'202401anual'!H115</f>
        <v>250000</v>
      </c>
      <c r="S68" s="4"/>
      <c r="T68" s="4">
        <f t="shared" si="31"/>
        <v>250000</v>
      </c>
      <c r="U68" s="4"/>
      <c r="V68" s="4"/>
      <c r="W68" s="4"/>
      <c r="X68" s="4"/>
      <c r="Y68" s="4"/>
      <c r="Z68" s="4"/>
      <c r="AA68" s="4">
        <f t="shared" si="32"/>
        <v>2750000</v>
      </c>
      <c r="AB68" s="4">
        <f t="shared" si="32"/>
        <v>5093560</v>
      </c>
      <c r="AC68" s="4">
        <f t="shared" si="33"/>
        <v>-2343560</v>
      </c>
      <c r="AD68" s="43">
        <f t="shared" si="34"/>
        <v>-85.220363636363643</v>
      </c>
      <c r="AE68" s="34"/>
      <c r="AF68" s="38"/>
      <c r="AG68" s="38"/>
      <c r="AH68" s="2"/>
      <c r="AI68" s="2"/>
    </row>
    <row r="69" spans="1:35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18"/>
        <v>0</v>
      </c>
      <c r="F69" s="4" t="e">
        <f>+'202401anual'!#REF!</f>
        <v>#REF!</v>
      </c>
      <c r="G69" s="4"/>
      <c r="H69" s="4" t="e">
        <f t="shared" si="19"/>
        <v>#REF!</v>
      </c>
      <c r="I69" s="4" t="e">
        <f>+'202401anual'!#REF!</f>
        <v>#REF!</v>
      </c>
      <c r="J69" s="4"/>
      <c r="K69" s="4" t="e">
        <f t="shared" si="28"/>
        <v>#REF!</v>
      </c>
      <c r="L69" s="4" t="e">
        <f>+'202401anual'!#REF!</f>
        <v>#REF!</v>
      </c>
      <c r="M69" s="4">
        <v>0</v>
      </c>
      <c r="N69" s="4" t="e">
        <f t="shared" si="29"/>
        <v>#REF!</v>
      </c>
      <c r="O69" s="4" t="e">
        <f>+'202401anual'!#REF!</f>
        <v>#REF!</v>
      </c>
      <c r="P69" s="4">
        <v>0</v>
      </c>
      <c r="Q69" s="4" t="e">
        <f t="shared" si="30"/>
        <v>#REF!</v>
      </c>
      <c r="R69" s="4" t="e">
        <f>+'202401anual'!#REF!</f>
        <v>#REF!</v>
      </c>
      <c r="S69" s="4"/>
      <c r="T69" s="4" t="e">
        <f t="shared" si="31"/>
        <v>#REF!</v>
      </c>
      <c r="U69" s="4"/>
      <c r="V69" s="4"/>
      <c r="W69" s="4"/>
      <c r="X69" s="4"/>
      <c r="Y69" s="4"/>
      <c r="Z69" s="4"/>
      <c r="AA69" s="4" t="e">
        <f t="shared" si="32"/>
        <v>#REF!</v>
      </c>
      <c r="AB69" s="4">
        <f t="shared" si="32"/>
        <v>0</v>
      </c>
      <c r="AC69" s="4" t="e">
        <f t="shared" si="33"/>
        <v>#REF!</v>
      </c>
      <c r="AD69" s="43">
        <v>0</v>
      </c>
      <c r="AE69" s="34"/>
      <c r="AF69" s="38"/>
      <c r="AG69" s="38"/>
      <c r="AH69" s="2"/>
      <c r="AI69" s="2"/>
    </row>
    <row r="70" spans="1:35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18"/>
        <v>0</v>
      </c>
      <c r="F70" s="4">
        <f>+'202401anual'!D118</f>
        <v>15930000</v>
      </c>
      <c r="G70" s="4"/>
      <c r="H70" s="4">
        <f t="shared" si="19"/>
        <v>15930000</v>
      </c>
      <c r="I70" s="4">
        <f>+'202401anual'!E118</f>
        <v>0</v>
      </c>
      <c r="J70" s="4"/>
      <c r="K70" s="4">
        <f t="shared" si="28"/>
        <v>0</v>
      </c>
      <c r="L70" s="4">
        <f>+'202401anual'!F118</f>
        <v>0</v>
      </c>
      <c r="M70" s="4">
        <v>0</v>
      </c>
      <c r="N70" s="4">
        <f t="shared" si="29"/>
        <v>0</v>
      </c>
      <c r="O70" s="4">
        <f>+'202401anual'!G118</f>
        <v>0</v>
      </c>
      <c r="P70" s="4">
        <v>0</v>
      </c>
      <c r="Q70" s="4">
        <f t="shared" si="30"/>
        <v>0</v>
      </c>
      <c r="R70" s="4">
        <f>+'202401anual'!H118</f>
        <v>15930000</v>
      </c>
      <c r="S70" s="4"/>
      <c r="T70" s="4">
        <f t="shared" si="31"/>
        <v>15930000</v>
      </c>
      <c r="U70" s="4"/>
      <c r="V70" s="4"/>
      <c r="W70" s="4"/>
      <c r="X70" s="4"/>
      <c r="Y70" s="4"/>
      <c r="Z70" s="4"/>
      <c r="AA70" s="4">
        <f t="shared" si="32"/>
        <v>31860000</v>
      </c>
      <c r="AB70" s="4">
        <f t="shared" si="32"/>
        <v>0</v>
      </c>
      <c r="AC70" s="4">
        <f t="shared" si="33"/>
        <v>31860000</v>
      </c>
      <c r="AD70" s="43">
        <v>0</v>
      </c>
      <c r="AE70" s="34"/>
      <c r="AF70" s="38"/>
      <c r="AG70" s="38"/>
      <c r="AH70" s="2"/>
      <c r="AI70" s="2"/>
    </row>
    <row r="71" spans="1:35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18"/>
        <v>0</v>
      </c>
      <c r="F71" s="4">
        <f>+'202401anual'!D119</f>
        <v>0</v>
      </c>
      <c r="G71" s="4"/>
      <c r="H71" s="4">
        <f t="shared" si="19"/>
        <v>0</v>
      </c>
      <c r="I71" s="4">
        <f>+'202401anual'!E119</f>
        <v>0</v>
      </c>
      <c r="J71" s="4"/>
      <c r="K71" s="4">
        <f t="shared" si="28"/>
        <v>0</v>
      </c>
      <c r="L71" s="4">
        <f>+'202401anual'!F119</f>
        <v>0</v>
      </c>
      <c r="M71" s="4">
        <v>0</v>
      </c>
      <c r="N71" s="4">
        <f t="shared" si="29"/>
        <v>0</v>
      </c>
      <c r="O71" s="4">
        <f>+'202401anual'!G119</f>
        <v>0</v>
      </c>
      <c r="P71" s="4">
        <v>0</v>
      </c>
      <c r="Q71" s="4">
        <f t="shared" si="30"/>
        <v>0</v>
      </c>
      <c r="R71" s="4">
        <f>+'202401anual'!H119</f>
        <v>0</v>
      </c>
      <c r="S71" s="4"/>
      <c r="T71" s="4">
        <f t="shared" si="31"/>
        <v>0</v>
      </c>
      <c r="U71" s="4"/>
      <c r="V71" s="4"/>
      <c r="W71" s="4"/>
      <c r="X71" s="4"/>
      <c r="Y71" s="4"/>
      <c r="Z71" s="4"/>
      <c r="AA71" s="4">
        <f t="shared" si="32"/>
        <v>0</v>
      </c>
      <c r="AB71" s="4">
        <f t="shared" si="32"/>
        <v>0</v>
      </c>
      <c r="AC71" s="4">
        <f t="shared" si="33"/>
        <v>0</v>
      </c>
      <c r="AD71" s="43">
        <v>0</v>
      </c>
      <c r="AE71" s="34"/>
      <c r="AF71" s="38"/>
      <c r="AG71" s="38"/>
      <c r="AH71" s="2"/>
      <c r="AI71" s="2"/>
    </row>
    <row r="72" spans="1:35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18"/>
        <v>-51000</v>
      </c>
      <c r="F72" s="4">
        <f>+'202401anual'!D120</f>
        <v>6000000</v>
      </c>
      <c r="G72" s="4">
        <v>2725500</v>
      </c>
      <c r="H72" s="4">
        <f t="shared" si="19"/>
        <v>3274500</v>
      </c>
      <c r="I72" s="4">
        <f>+'202401anual'!E120</f>
        <v>7752000</v>
      </c>
      <c r="J72" s="4">
        <f>+[6]EjecucionPptalPasiva!$Q$284</f>
        <v>7994800</v>
      </c>
      <c r="K72" s="4">
        <f t="shared" si="28"/>
        <v>-242800</v>
      </c>
      <c r="L72" s="4">
        <f>+'202401anual'!F120</f>
        <v>7752000</v>
      </c>
      <c r="M72" s="4">
        <f>+[5]EjecucionPptalPasiva!$Q$284</f>
        <v>5451000</v>
      </c>
      <c r="N72" s="4">
        <f t="shared" si="29"/>
        <v>2301000</v>
      </c>
      <c r="O72" s="4">
        <f>+'202401anual'!G120</f>
        <v>6820000</v>
      </c>
      <c r="P72" s="4">
        <v>5451000</v>
      </c>
      <c r="Q72" s="4">
        <f t="shared" si="30"/>
        <v>1369000</v>
      </c>
      <c r="R72" s="4">
        <f>+'202401anual'!H120</f>
        <v>6820000</v>
      </c>
      <c r="S72" s="4"/>
      <c r="T72" s="4">
        <f t="shared" si="31"/>
        <v>6820000</v>
      </c>
      <c r="U72" s="4"/>
      <c r="V72" s="4"/>
      <c r="W72" s="4"/>
      <c r="X72" s="4"/>
      <c r="Y72" s="4"/>
      <c r="Z72" s="4"/>
      <c r="AA72" s="4">
        <f t="shared" si="32"/>
        <v>40544000</v>
      </c>
      <c r="AB72" s="4">
        <f t="shared" si="32"/>
        <v>27073300</v>
      </c>
      <c r="AC72" s="4">
        <f t="shared" si="33"/>
        <v>13470700</v>
      </c>
      <c r="AD72" s="43">
        <f t="shared" si="34"/>
        <v>33.224891475927386</v>
      </c>
      <c r="AE72" s="34"/>
      <c r="AF72" s="38"/>
      <c r="AG72" s="38"/>
      <c r="AH72" s="2"/>
      <c r="AI72" s="2"/>
    </row>
    <row r="73" spans="1:35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18"/>
        <v>2300000</v>
      </c>
      <c r="F73" s="4">
        <f>+'202401anual'!D131</f>
        <v>0</v>
      </c>
      <c r="G73" s="4"/>
      <c r="H73" s="4">
        <f t="shared" si="19"/>
        <v>0</v>
      </c>
      <c r="I73" s="4">
        <f>+'202401anual'!E131</f>
        <v>982500</v>
      </c>
      <c r="J73" s="4">
        <f>+[6]EjecucionPptalPasiva!$Q$278</f>
        <v>602000</v>
      </c>
      <c r="K73" s="4">
        <f t="shared" si="28"/>
        <v>380500</v>
      </c>
      <c r="L73" s="4">
        <f>+'202401anual'!F131</f>
        <v>982500</v>
      </c>
      <c r="M73" s="4">
        <v>0</v>
      </c>
      <c r="N73" s="4">
        <f t="shared" si="29"/>
        <v>982500</v>
      </c>
      <c r="O73" s="4">
        <f>+'202401anual'!G131</f>
        <v>1091500</v>
      </c>
      <c r="P73" s="4">
        <v>0</v>
      </c>
      <c r="Q73" s="4">
        <f t="shared" si="30"/>
        <v>1091500</v>
      </c>
      <c r="R73" s="4">
        <f>+'202401anual'!H131</f>
        <v>1091500</v>
      </c>
      <c r="S73" s="4"/>
      <c r="T73" s="4">
        <f t="shared" si="31"/>
        <v>1091500</v>
      </c>
      <c r="U73" s="4"/>
      <c r="V73" s="4"/>
      <c r="W73" s="4"/>
      <c r="X73" s="4"/>
      <c r="Y73" s="4"/>
      <c r="Z73" s="4"/>
      <c r="AA73" s="4">
        <f t="shared" si="32"/>
        <v>6448000</v>
      </c>
      <c r="AB73" s="4">
        <f t="shared" si="32"/>
        <v>602000</v>
      </c>
      <c r="AC73" s="4">
        <f t="shared" si="33"/>
        <v>5846000</v>
      </c>
      <c r="AD73" s="43">
        <f t="shared" si="34"/>
        <v>90.66377171215882</v>
      </c>
      <c r="AE73" s="34"/>
      <c r="AF73" s="38"/>
      <c r="AG73" s="38"/>
      <c r="AH73" s="2"/>
      <c r="AI73" s="2"/>
    </row>
    <row r="74" spans="1:35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18"/>
        <v>3000000</v>
      </c>
      <c r="F74" s="4">
        <f>+'202401anual'!D132</f>
        <v>0</v>
      </c>
      <c r="G74" s="4"/>
      <c r="H74" s="4">
        <f t="shared" si="19"/>
        <v>0</v>
      </c>
      <c r="I74" s="4">
        <f>+'202401anual'!E132</f>
        <v>0</v>
      </c>
      <c r="J74" s="4"/>
      <c r="K74" s="4">
        <f t="shared" si="28"/>
        <v>0</v>
      </c>
      <c r="L74" s="4">
        <f>+'202401anual'!F132</f>
        <v>0</v>
      </c>
      <c r="M74" s="4">
        <v>0</v>
      </c>
      <c r="N74" s="4">
        <f t="shared" si="29"/>
        <v>0</v>
      </c>
      <c r="O74" s="4">
        <f>+'202401anual'!G132</f>
        <v>0</v>
      </c>
      <c r="P74" s="4">
        <v>0</v>
      </c>
      <c r="Q74" s="4">
        <f t="shared" si="30"/>
        <v>0</v>
      </c>
      <c r="R74" s="4">
        <f>+'202401anual'!H132</f>
        <v>0</v>
      </c>
      <c r="S74" s="4"/>
      <c r="T74" s="4">
        <f t="shared" si="31"/>
        <v>0</v>
      </c>
      <c r="U74" s="4"/>
      <c r="V74" s="4"/>
      <c r="W74" s="4"/>
      <c r="X74" s="4"/>
      <c r="Y74" s="4"/>
      <c r="Z74" s="4"/>
      <c r="AA74" s="4">
        <f t="shared" si="32"/>
        <v>3000000</v>
      </c>
      <c r="AB74" s="4">
        <f t="shared" si="32"/>
        <v>0</v>
      </c>
      <c r="AC74" s="4">
        <f t="shared" si="33"/>
        <v>3000000</v>
      </c>
      <c r="AD74" s="43">
        <f t="shared" si="34"/>
        <v>100</v>
      </c>
      <c r="AE74" s="34"/>
      <c r="AF74" s="38"/>
      <c r="AG74" s="38"/>
      <c r="AH74" s="2"/>
      <c r="AI74" s="2"/>
    </row>
    <row r="75" spans="1:35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18"/>
        <v>224000</v>
      </c>
      <c r="F75" s="4" t="e">
        <f>+'202401anual'!#REF!</f>
        <v>#REF!</v>
      </c>
      <c r="G75" s="4"/>
      <c r="H75" s="4" t="e">
        <f t="shared" si="19"/>
        <v>#REF!</v>
      </c>
      <c r="I75" s="4" t="e">
        <f>+'202401anual'!#REF!</f>
        <v>#REF!</v>
      </c>
      <c r="J75" s="4"/>
      <c r="K75" s="4" t="e">
        <f t="shared" si="28"/>
        <v>#REF!</v>
      </c>
      <c r="L75" s="4" t="e">
        <f>+'202401anual'!#REF!</f>
        <v>#REF!</v>
      </c>
      <c r="M75" s="4">
        <v>0</v>
      </c>
      <c r="N75" s="4" t="e">
        <f t="shared" si="29"/>
        <v>#REF!</v>
      </c>
      <c r="O75" s="4" t="e">
        <f>+'202401anual'!#REF!</f>
        <v>#REF!</v>
      </c>
      <c r="P75" s="4">
        <v>0</v>
      </c>
      <c r="Q75" s="4" t="e">
        <f t="shared" si="30"/>
        <v>#REF!</v>
      </c>
      <c r="R75" s="4" t="e">
        <f>+'202401anual'!#REF!</f>
        <v>#REF!</v>
      </c>
      <c r="S75" s="4"/>
      <c r="T75" s="4" t="e">
        <f t="shared" si="31"/>
        <v>#REF!</v>
      </c>
      <c r="U75" s="4"/>
      <c r="V75" s="4"/>
      <c r="W75" s="4"/>
      <c r="X75" s="4"/>
      <c r="Y75" s="4"/>
      <c r="Z75" s="4"/>
      <c r="AA75" s="4" t="e">
        <f t="shared" si="32"/>
        <v>#REF!</v>
      </c>
      <c r="AB75" s="4">
        <f t="shared" si="32"/>
        <v>0</v>
      </c>
      <c r="AC75" s="4" t="e">
        <f t="shared" si="33"/>
        <v>#REF!</v>
      </c>
      <c r="AD75" s="43" t="e">
        <f t="shared" si="34"/>
        <v>#REF!</v>
      </c>
      <c r="AE75" s="34"/>
      <c r="AF75" s="38"/>
      <c r="AG75" s="38"/>
      <c r="AH75" s="2"/>
      <c r="AI75" s="2"/>
    </row>
    <row r="76" spans="1:35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18"/>
        <v>-3273800</v>
      </c>
      <c r="F76" s="4">
        <f>+'202401anual'!D133</f>
        <v>4000000</v>
      </c>
      <c r="G76" s="4">
        <v>1256880</v>
      </c>
      <c r="H76" s="4">
        <f t="shared" si="19"/>
        <v>2743120</v>
      </c>
      <c r="I76" s="4">
        <f>+'202401anual'!E133</f>
        <v>4000000</v>
      </c>
      <c r="J76" s="4">
        <f>+[6]EjecucionPptalPasiva!$Q$279</f>
        <v>2009690</v>
      </c>
      <c r="K76" s="4">
        <f t="shared" si="28"/>
        <v>1990310</v>
      </c>
      <c r="L76" s="4">
        <f>+'202401anual'!F133</f>
        <v>4000000</v>
      </c>
      <c r="M76" s="4">
        <v>0</v>
      </c>
      <c r="N76" s="4">
        <f t="shared" si="29"/>
        <v>4000000</v>
      </c>
      <c r="O76" s="4">
        <f>+'202401anual'!G133</f>
        <v>4000000</v>
      </c>
      <c r="P76" s="4">
        <v>0</v>
      </c>
      <c r="Q76" s="4">
        <f t="shared" si="30"/>
        <v>4000000</v>
      </c>
      <c r="R76" s="4">
        <f>+'202401anual'!H133</f>
        <v>4000000</v>
      </c>
      <c r="S76" s="4"/>
      <c r="T76" s="4">
        <f t="shared" si="31"/>
        <v>4000000</v>
      </c>
      <c r="U76" s="4"/>
      <c r="V76" s="4"/>
      <c r="W76" s="4"/>
      <c r="X76" s="4"/>
      <c r="Y76" s="4"/>
      <c r="Z76" s="4"/>
      <c r="AA76" s="4">
        <f t="shared" si="32"/>
        <v>21200000</v>
      </c>
      <c r="AB76" s="4">
        <f t="shared" si="32"/>
        <v>7740370</v>
      </c>
      <c r="AC76" s="4">
        <f t="shared" si="33"/>
        <v>13459630</v>
      </c>
      <c r="AD76" s="43">
        <f t="shared" si="34"/>
        <v>63.488820754716983</v>
      </c>
      <c r="AE76" s="34"/>
      <c r="AF76" s="38"/>
      <c r="AG76" s="38"/>
      <c r="AH76" s="2"/>
      <c r="AI76" s="2"/>
    </row>
    <row r="77" spans="1:35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18"/>
        <v>519000</v>
      </c>
      <c r="F77" s="4" t="e">
        <f>+'202401anual'!#REF!</f>
        <v>#REF!</v>
      </c>
      <c r="G77" s="4">
        <v>530000</v>
      </c>
      <c r="H77" s="4" t="e">
        <f t="shared" si="19"/>
        <v>#REF!</v>
      </c>
      <c r="I77" s="4" t="e">
        <f>+'202401anual'!#REF!</f>
        <v>#REF!</v>
      </c>
      <c r="J77" s="4">
        <f>+[6]EjecucionPptalPasiva!$Q$231</f>
        <v>1918811</v>
      </c>
      <c r="K77" s="4" t="e">
        <f t="shared" si="28"/>
        <v>#REF!</v>
      </c>
      <c r="L77" s="4" t="e">
        <f>+'202401anual'!#REF!</f>
        <v>#REF!</v>
      </c>
      <c r="M77" s="4">
        <f>+[5]EjecucionPptalPasiva!$O$231</f>
        <v>634434</v>
      </c>
      <c r="N77" s="4" t="e">
        <f t="shared" si="29"/>
        <v>#REF!</v>
      </c>
      <c r="O77" s="4" t="e">
        <f>+'202401anual'!#REF!</f>
        <v>#REF!</v>
      </c>
      <c r="P77" s="4">
        <f>1190185</f>
        <v>1190185</v>
      </c>
      <c r="Q77" s="4" t="e">
        <f t="shared" si="30"/>
        <v>#REF!</v>
      </c>
      <c r="R77" s="4" t="e">
        <f>+'202401anual'!#REF!</f>
        <v>#REF!</v>
      </c>
      <c r="S77" s="4"/>
      <c r="T77" s="4" t="e">
        <f t="shared" si="31"/>
        <v>#REF!</v>
      </c>
      <c r="U77" s="4"/>
      <c r="V77" s="4"/>
      <c r="W77" s="4"/>
      <c r="X77" s="4"/>
      <c r="Y77" s="4"/>
      <c r="Z77" s="4"/>
      <c r="AA77" s="4" t="e">
        <f t="shared" si="32"/>
        <v>#REF!</v>
      </c>
      <c r="AB77" s="4">
        <f t="shared" si="32"/>
        <v>4273430</v>
      </c>
      <c r="AC77" s="4" t="e">
        <f t="shared" si="33"/>
        <v>#REF!</v>
      </c>
      <c r="AD77" s="43" t="e">
        <f t="shared" si="34"/>
        <v>#REF!</v>
      </c>
      <c r="AE77" s="34"/>
      <c r="AF77" s="38"/>
      <c r="AG77" s="38"/>
      <c r="AH77" s="2"/>
      <c r="AI77" s="2"/>
    </row>
    <row r="78" spans="1:35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18"/>
        <v>3850540.5192123605</v>
      </c>
      <c r="F78" s="4">
        <f>+'202401anual'!D134</f>
        <v>3254372.0833333335</v>
      </c>
      <c r="G78" s="4">
        <v>3835014</v>
      </c>
      <c r="H78" s="4">
        <f t="shared" si="19"/>
        <v>-580641.91666666651</v>
      </c>
      <c r="I78" s="4">
        <f>+'202401anual'!E134</f>
        <v>3254372.0833333335</v>
      </c>
      <c r="J78" s="4">
        <v>2178767</v>
      </c>
      <c r="K78" s="4">
        <f t="shared" si="28"/>
        <v>1075605.0833333335</v>
      </c>
      <c r="L78" s="4">
        <f>+'202401anual'!F134</f>
        <v>3254372.0833333335</v>
      </c>
      <c r="M78" s="4">
        <f>+[5]EjecucionPptalPasiva!$Q$298</f>
        <v>3478598</v>
      </c>
      <c r="N78" s="4">
        <f t="shared" si="29"/>
        <v>-224225.91666666651</v>
      </c>
      <c r="O78" s="4">
        <f>+'202401anual'!G134</f>
        <v>3254372.0833333335</v>
      </c>
      <c r="P78" s="4">
        <v>2819448</v>
      </c>
      <c r="Q78" s="4">
        <f t="shared" si="30"/>
        <v>434924.08333333349</v>
      </c>
      <c r="R78" s="4">
        <f>+'202401anual'!H134</f>
        <v>3254372.0833333335</v>
      </c>
      <c r="S78" s="4"/>
      <c r="T78" s="4">
        <f t="shared" si="31"/>
        <v>3254372.0833333335</v>
      </c>
      <c r="U78" s="4"/>
      <c r="V78" s="4"/>
      <c r="W78" s="4"/>
      <c r="X78" s="4"/>
      <c r="Y78" s="4"/>
      <c r="Z78" s="4"/>
      <c r="AA78" s="4">
        <f t="shared" si="32"/>
        <v>21333318.935879026</v>
      </c>
      <c r="AB78" s="4">
        <f t="shared" si="32"/>
        <v>13522745</v>
      </c>
      <c r="AC78" s="4">
        <f t="shared" si="33"/>
        <v>7810573.9358790256</v>
      </c>
      <c r="AD78" s="43">
        <f t="shared" si="34"/>
        <v>36.61209003322481</v>
      </c>
      <c r="AE78" s="34"/>
      <c r="AF78" s="38"/>
      <c r="AG78" s="38"/>
      <c r="AH78" s="2"/>
      <c r="AI78" s="2"/>
    </row>
    <row r="79" spans="1:35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18"/>
        <v>3000000</v>
      </c>
      <c r="F79" s="4">
        <f>+'202401anual'!D135</f>
        <v>3500000</v>
      </c>
      <c r="G79" s="4"/>
      <c r="H79" s="4">
        <f t="shared" si="19"/>
        <v>3500000</v>
      </c>
      <c r="I79" s="4">
        <f>+'202401anual'!E135</f>
        <v>0</v>
      </c>
      <c r="J79" s="4"/>
      <c r="K79" s="4">
        <f t="shared" si="28"/>
        <v>0</v>
      </c>
      <c r="L79" s="4">
        <f>+'202401anual'!F135</f>
        <v>0</v>
      </c>
      <c r="M79" s="4">
        <v>0</v>
      </c>
      <c r="N79" s="4">
        <f t="shared" si="29"/>
        <v>0</v>
      </c>
      <c r="O79" s="4">
        <f>+'202401anual'!G135</f>
        <v>4000000</v>
      </c>
      <c r="P79" s="4">
        <v>0</v>
      </c>
      <c r="Q79" s="4">
        <f t="shared" si="30"/>
        <v>4000000</v>
      </c>
      <c r="R79" s="4">
        <f>+'202401anual'!H135</f>
        <v>4000000</v>
      </c>
      <c r="S79" s="4"/>
      <c r="T79" s="4">
        <f t="shared" si="31"/>
        <v>4000000</v>
      </c>
      <c r="U79" s="4"/>
      <c r="V79" s="4"/>
      <c r="W79" s="4"/>
      <c r="X79" s="4"/>
      <c r="Y79" s="4"/>
      <c r="Z79" s="4"/>
      <c r="AA79" s="4">
        <f t="shared" si="32"/>
        <v>14500000</v>
      </c>
      <c r="AB79" s="4">
        <f t="shared" si="32"/>
        <v>0</v>
      </c>
      <c r="AC79" s="4">
        <f t="shared" si="33"/>
        <v>14500000</v>
      </c>
      <c r="AD79" s="43">
        <f t="shared" si="34"/>
        <v>100</v>
      </c>
      <c r="AE79" s="34"/>
      <c r="AF79" s="38"/>
      <c r="AG79" s="38"/>
      <c r="AH79" s="2"/>
      <c r="AI79" s="2"/>
    </row>
    <row r="80" spans="1:35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18"/>
        <v>0</v>
      </c>
      <c r="F80" s="4">
        <f>+'202401anual'!D136</f>
        <v>6000000</v>
      </c>
      <c r="G80" s="4"/>
      <c r="H80" s="4">
        <f t="shared" si="19"/>
        <v>6000000</v>
      </c>
      <c r="I80" s="4">
        <f>+'202401anual'!E136</f>
        <v>0</v>
      </c>
      <c r="J80" s="4"/>
      <c r="K80" s="4">
        <f t="shared" si="28"/>
        <v>0</v>
      </c>
      <c r="L80" s="4">
        <f>+'202401anual'!F136</f>
        <v>0</v>
      </c>
      <c r="M80" s="4">
        <v>0</v>
      </c>
      <c r="N80" s="4">
        <f t="shared" si="29"/>
        <v>0</v>
      </c>
      <c r="O80" s="4">
        <f>+'202401anual'!G136</f>
        <v>0</v>
      </c>
      <c r="P80" s="4">
        <v>0</v>
      </c>
      <c r="Q80" s="4">
        <f t="shared" si="30"/>
        <v>0</v>
      </c>
      <c r="R80" s="4">
        <f>+'202401anual'!H136</f>
        <v>3000000</v>
      </c>
      <c r="S80" s="4"/>
      <c r="T80" s="4">
        <f t="shared" si="31"/>
        <v>3000000</v>
      </c>
      <c r="U80" s="4"/>
      <c r="V80" s="4"/>
      <c r="W80" s="4"/>
      <c r="X80" s="4"/>
      <c r="Y80" s="4"/>
      <c r="Z80" s="4"/>
      <c r="AA80" s="4">
        <f t="shared" si="32"/>
        <v>9000000</v>
      </c>
      <c r="AB80" s="4">
        <f t="shared" si="32"/>
        <v>0</v>
      </c>
      <c r="AC80" s="4">
        <f t="shared" si="33"/>
        <v>9000000</v>
      </c>
      <c r="AD80" s="43">
        <v>0</v>
      </c>
      <c r="AE80" s="34"/>
      <c r="AF80" s="38"/>
      <c r="AG80" s="38"/>
      <c r="AH80" s="2"/>
      <c r="AI80" s="2"/>
    </row>
    <row r="81" spans="1:38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18"/>
        <v>0</v>
      </c>
      <c r="F81" s="4">
        <f>+'202401anual'!D137</f>
        <v>0</v>
      </c>
      <c r="G81" s="4"/>
      <c r="H81" s="4">
        <f t="shared" si="19"/>
        <v>0</v>
      </c>
      <c r="I81" s="4">
        <f>+'202401anual'!E137</f>
        <v>0</v>
      </c>
      <c r="J81" s="4"/>
      <c r="K81" s="4">
        <f t="shared" si="28"/>
        <v>0</v>
      </c>
      <c r="L81" s="4">
        <f>+'202401anual'!F137</f>
        <v>0</v>
      </c>
      <c r="M81" s="4">
        <v>0</v>
      </c>
      <c r="N81" s="4">
        <f t="shared" si="29"/>
        <v>0</v>
      </c>
      <c r="O81" s="4">
        <f>+'202401anual'!G137</f>
        <v>0</v>
      </c>
      <c r="P81" s="4">
        <v>0</v>
      </c>
      <c r="Q81" s="4">
        <f t="shared" si="30"/>
        <v>0</v>
      </c>
      <c r="R81" s="4">
        <f>+'202401anual'!H137</f>
        <v>0</v>
      </c>
      <c r="S81" s="4"/>
      <c r="T81" s="4">
        <f t="shared" si="31"/>
        <v>0</v>
      </c>
      <c r="U81" s="4"/>
      <c r="V81" s="4"/>
      <c r="W81" s="4"/>
      <c r="X81" s="4"/>
      <c r="Y81" s="4"/>
      <c r="Z81" s="4"/>
      <c r="AA81" s="4">
        <f t="shared" si="32"/>
        <v>0</v>
      </c>
      <c r="AB81" s="4">
        <f t="shared" si="32"/>
        <v>0</v>
      </c>
      <c r="AC81" s="4">
        <f t="shared" si="33"/>
        <v>0</v>
      </c>
      <c r="AD81" s="43">
        <v>0</v>
      </c>
      <c r="AE81" s="34"/>
      <c r="AF81" s="38"/>
      <c r="AG81" s="38"/>
      <c r="AH81" s="2"/>
      <c r="AI81" s="2"/>
    </row>
    <row r="82" spans="1:38" hidden="1" x14ac:dyDescent="0.25">
      <c r="A82" s="5" t="s">
        <v>34</v>
      </c>
      <c r="B82" s="4"/>
      <c r="C82" s="4"/>
      <c r="D82" s="4"/>
      <c r="E82" s="4">
        <f t="shared" si="18"/>
        <v>0</v>
      </c>
      <c r="F82" s="4">
        <f>+'202401anual'!D138</f>
        <v>8200000</v>
      </c>
      <c r="G82" s="4"/>
      <c r="H82" s="4">
        <f t="shared" si="19"/>
        <v>8200000</v>
      </c>
      <c r="I82" s="4">
        <f>+'202401anual'!E138</f>
        <v>27774000</v>
      </c>
      <c r="J82" s="4"/>
      <c r="K82" s="4">
        <f t="shared" si="28"/>
        <v>27774000</v>
      </c>
      <c r="L82" s="4">
        <f>+'202401anual'!F138</f>
        <v>8200000</v>
      </c>
      <c r="M82" s="4"/>
      <c r="N82" s="4">
        <f t="shared" si="29"/>
        <v>8200000</v>
      </c>
      <c r="O82" s="4">
        <f>+'202401anual'!G138</f>
        <v>8200000</v>
      </c>
      <c r="P82" s="4"/>
      <c r="Q82" s="4">
        <f t="shared" si="30"/>
        <v>8200000</v>
      </c>
      <c r="R82" s="4">
        <f>+'202401anual'!H138</f>
        <v>8200000</v>
      </c>
      <c r="S82" s="4"/>
      <c r="T82" s="4">
        <f t="shared" si="31"/>
        <v>8200000</v>
      </c>
      <c r="U82" s="4"/>
      <c r="V82" s="4"/>
      <c r="W82" s="4"/>
      <c r="X82" s="4"/>
      <c r="Y82" s="4"/>
      <c r="Z82" s="4"/>
      <c r="AA82" s="4">
        <f t="shared" si="32"/>
        <v>60574000</v>
      </c>
      <c r="AB82" s="4">
        <f t="shared" si="32"/>
        <v>0</v>
      </c>
      <c r="AC82" s="4">
        <f t="shared" si="33"/>
        <v>60574000</v>
      </c>
      <c r="AD82" s="43">
        <f t="shared" si="34"/>
        <v>100</v>
      </c>
      <c r="AE82" s="34"/>
      <c r="AF82" s="38"/>
      <c r="AG82" s="38"/>
      <c r="AH82" s="2"/>
      <c r="AI82" s="2"/>
    </row>
    <row r="83" spans="1:38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18"/>
        <v>2000000</v>
      </c>
      <c r="F83" s="4">
        <f>+'202401anual'!D139</f>
        <v>500000</v>
      </c>
      <c r="G83" s="4"/>
      <c r="H83" s="4">
        <f t="shared" si="19"/>
        <v>500000</v>
      </c>
      <c r="I83" s="4">
        <f>+'202401anual'!E139</f>
        <v>500000</v>
      </c>
      <c r="J83" s="4"/>
      <c r="K83" s="4">
        <f t="shared" si="28"/>
        <v>500000</v>
      </c>
      <c r="L83" s="4">
        <f>+'202401anual'!F139</f>
        <v>500000</v>
      </c>
      <c r="M83" s="4">
        <v>0</v>
      </c>
      <c r="N83" s="4">
        <f t="shared" si="29"/>
        <v>500000</v>
      </c>
      <c r="O83" s="4">
        <f>+'202401anual'!G139</f>
        <v>500000</v>
      </c>
      <c r="P83" s="4">
        <v>0</v>
      </c>
      <c r="Q83" s="4">
        <f t="shared" si="30"/>
        <v>500000</v>
      </c>
      <c r="R83" s="4">
        <f>+'202401anual'!H139</f>
        <v>500000</v>
      </c>
      <c r="S83" s="4"/>
      <c r="T83" s="4">
        <f t="shared" si="31"/>
        <v>500000</v>
      </c>
      <c r="U83" s="4"/>
      <c r="V83" s="4"/>
      <c r="W83" s="4"/>
      <c r="X83" s="4"/>
      <c r="Y83" s="4"/>
      <c r="Z83" s="4"/>
      <c r="AA83" s="4">
        <f t="shared" si="32"/>
        <v>4500000</v>
      </c>
      <c r="AB83" s="4">
        <f t="shared" si="32"/>
        <v>0</v>
      </c>
      <c r="AC83" s="4">
        <f t="shared" si="33"/>
        <v>4500000</v>
      </c>
      <c r="AD83" s="43">
        <f t="shared" si="34"/>
        <v>100</v>
      </c>
      <c r="AE83" s="34"/>
      <c r="AF83" s="38"/>
      <c r="AG83" s="38"/>
      <c r="AH83" s="2"/>
      <c r="AI83" s="2"/>
    </row>
    <row r="84" spans="1:38" hidden="1" x14ac:dyDescent="0.25">
      <c r="A84" s="5" t="s">
        <v>56</v>
      </c>
      <c r="B84" s="4"/>
      <c r="C84" s="4"/>
      <c r="D84" s="4"/>
      <c r="E84" s="4">
        <f t="shared" si="18"/>
        <v>0</v>
      </c>
      <c r="F84" s="4">
        <f>+'202401anual'!D140</f>
        <v>1508333.3333333333</v>
      </c>
      <c r="G84" s="4"/>
      <c r="H84" s="4">
        <f t="shared" si="19"/>
        <v>1508333.3333333333</v>
      </c>
      <c r="I84" s="4">
        <f>+'202401anual'!E140</f>
        <v>1508333.3333333333</v>
      </c>
      <c r="J84" s="4"/>
      <c r="K84" s="4">
        <f t="shared" si="28"/>
        <v>1508333.3333333333</v>
      </c>
      <c r="L84" s="4">
        <f>+'202401anual'!F140</f>
        <v>1508333.3333333333</v>
      </c>
      <c r="M84" s="4"/>
      <c r="N84" s="4">
        <f t="shared" si="29"/>
        <v>1508333.3333333333</v>
      </c>
      <c r="O84" s="4">
        <f>+'202401anual'!G140</f>
        <v>1508333.3333333333</v>
      </c>
      <c r="P84" s="4"/>
      <c r="Q84" s="4">
        <f t="shared" si="30"/>
        <v>1508333.3333333333</v>
      </c>
      <c r="R84" s="4">
        <f>+'202401anual'!H140</f>
        <v>1508333.3333333333</v>
      </c>
      <c r="S84" s="4"/>
      <c r="T84" s="4">
        <f t="shared" si="31"/>
        <v>1508333.3333333333</v>
      </c>
      <c r="U84" s="4"/>
      <c r="V84" s="4"/>
      <c r="W84" s="4"/>
      <c r="X84" s="4"/>
      <c r="Y84" s="4"/>
      <c r="Z84" s="4"/>
      <c r="AA84" s="4">
        <f t="shared" si="32"/>
        <v>7541666.666666666</v>
      </c>
      <c r="AB84" s="4">
        <f t="shared" si="32"/>
        <v>0</v>
      </c>
      <c r="AC84" s="4">
        <f t="shared" si="33"/>
        <v>7541666.666666666</v>
      </c>
      <c r="AD84" s="43">
        <f t="shared" si="34"/>
        <v>100</v>
      </c>
      <c r="AE84" s="34"/>
      <c r="AF84" s="38"/>
      <c r="AG84" s="38"/>
      <c r="AH84" s="2"/>
      <c r="AI84" s="2"/>
    </row>
    <row r="85" spans="1:38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18"/>
        <v>-220000</v>
      </c>
      <c r="F85" s="4">
        <f>+'202401anual'!D141</f>
        <v>2464000</v>
      </c>
      <c r="G85" s="4">
        <v>3230000</v>
      </c>
      <c r="H85" s="4">
        <f t="shared" si="19"/>
        <v>-766000</v>
      </c>
      <c r="I85" s="4">
        <f>+'202401anual'!E141</f>
        <v>2464000</v>
      </c>
      <c r="J85" s="4">
        <v>2320000</v>
      </c>
      <c r="K85" s="4">
        <f t="shared" si="28"/>
        <v>144000</v>
      </c>
      <c r="L85" s="4">
        <f>+'202401anual'!F141</f>
        <v>2464000</v>
      </c>
      <c r="M85" s="4">
        <v>2320000</v>
      </c>
      <c r="N85" s="4">
        <f t="shared" si="29"/>
        <v>144000</v>
      </c>
      <c r="O85" s="4">
        <f>+'202401anual'!G141</f>
        <v>2464000</v>
      </c>
      <c r="P85" s="4">
        <v>2320000</v>
      </c>
      <c r="Q85" s="4">
        <f t="shared" si="30"/>
        <v>144000</v>
      </c>
      <c r="R85" s="4">
        <f>+'202401anual'!H141</f>
        <v>2464000</v>
      </c>
      <c r="S85" s="4"/>
      <c r="T85" s="4">
        <f t="shared" si="31"/>
        <v>2464000</v>
      </c>
      <c r="U85" s="4"/>
      <c r="V85" s="4"/>
      <c r="W85" s="4"/>
      <c r="X85" s="4"/>
      <c r="Y85" s="4"/>
      <c r="Z85" s="4"/>
      <c r="AA85" s="4">
        <f t="shared" si="32"/>
        <v>14420000</v>
      </c>
      <c r="AB85" s="4">
        <f t="shared" si="32"/>
        <v>12510000</v>
      </c>
      <c r="AC85" s="4">
        <f t="shared" si="33"/>
        <v>1910000</v>
      </c>
      <c r="AD85" s="43">
        <f t="shared" si="34"/>
        <v>13.245492371705964</v>
      </c>
      <c r="AE85" s="34"/>
      <c r="AF85" s="38"/>
      <c r="AG85" s="38"/>
      <c r="AH85" s="2"/>
      <c r="AI85" s="2"/>
    </row>
    <row r="86" spans="1:38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18"/>
        <v>5519000</v>
      </c>
      <c r="F86" s="4">
        <f>+'202401anual'!D142</f>
        <v>63728000</v>
      </c>
      <c r="G86" s="4">
        <v>53576000</v>
      </c>
      <c r="H86" s="4">
        <f t="shared" si="19"/>
        <v>10152000</v>
      </c>
      <c r="I86" s="4">
        <f>+'202401anual'!E142</f>
        <v>9454400</v>
      </c>
      <c r="J86" s="4">
        <v>53576000</v>
      </c>
      <c r="K86" s="4">
        <f t="shared" si="28"/>
        <v>-44121600</v>
      </c>
      <c r="L86" s="4">
        <f>+'202401anual'!F142</f>
        <v>9454400</v>
      </c>
      <c r="M86" s="4">
        <v>53576000</v>
      </c>
      <c r="N86" s="4">
        <f t="shared" si="29"/>
        <v>-44121600</v>
      </c>
      <c r="O86" s="4">
        <f>+'202401anual'!G142</f>
        <v>16000000</v>
      </c>
      <c r="P86" s="4">
        <v>53576000</v>
      </c>
      <c r="Q86" s="4">
        <f t="shared" si="30"/>
        <v>-37576000</v>
      </c>
      <c r="R86" s="4">
        <f>+'202401anual'!H142</f>
        <v>16000000</v>
      </c>
      <c r="S86" s="4"/>
      <c r="T86" s="4">
        <f t="shared" si="31"/>
        <v>16000000</v>
      </c>
      <c r="U86" s="4"/>
      <c r="V86" s="4"/>
      <c r="W86" s="4"/>
      <c r="X86" s="4"/>
      <c r="Y86" s="4"/>
      <c r="Z86" s="4"/>
      <c r="AA86" s="4">
        <f t="shared" si="32"/>
        <v>173731800</v>
      </c>
      <c r="AB86" s="4">
        <f t="shared" si="32"/>
        <v>267880000</v>
      </c>
      <c r="AC86" s="4">
        <f t="shared" si="33"/>
        <v>-94148200</v>
      </c>
      <c r="AD86" s="43">
        <f t="shared" si="34"/>
        <v>-54.191690870640841</v>
      </c>
      <c r="AE86" s="34"/>
      <c r="AF86" s="38"/>
      <c r="AG86" s="38"/>
      <c r="AH86" s="2"/>
      <c r="AI86" s="2"/>
    </row>
    <row r="87" spans="1:38" x14ac:dyDescent="0.25">
      <c r="A87" s="12" t="s">
        <v>53</v>
      </c>
      <c r="B87" s="8">
        <f>SUM(B35:B86)</f>
        <v>2441516142</v>
      </c>
      <c r="C87" s="8">
        <f t="shared" ref="C87:AC87" si="35">SUM(C35:C86)</f>
        <v>179785359.61327934</v>
      </c>
      <c r="D87" s="8">
        <f t="shared" si="35"/>
        <v>131905273</v>
      </c>
      <c r="E87" s="8">
        <f t="shared" si="35"/>
        <v>47880086.61327935</v>
      </c>
      <c r="F87" s="8" t="e">
        <f t="shared" si="35"/>
        <v>#REF!</v>
      </c>
      <c r="G87" s="8">
        <f t="shared" si="35"/>
        <v>144410432</v>
      </c>
      <c r="H87" s="8" t="e">
        <f t="shared" si="35"/>
        <v>#REF!</v>
      </c>
      <c r="I87" s="8" t="e">
        <f t="shared" si="35"/>
        <v>#REF!</v>
      </c>
      <c r="J87" s="8">
        <f t="shared" si="35"/>
        <v>155506366.09</v>
      </c>
      <c r="K87" s="8" t="e">
        <f t="shared" si="35"/>
        <v>#REF!</v>
      </c>
      <c r="L87" s="8" t="e">
        <f t="shared" si="35"/>
        <v>#REF!</v>
      </c>
      <c r="M87" s="8">
        <f t="shared" si="35"/>
        <v>158068177.80000001</v>
      </c>
      <c r="N87" s="8" t="e">
        <f t="shared" si="35"/>
        <v>#REF!</v>
      </c>
      <c r="O87" s="8" t="e">
        <f t="shared" si="35"/>
        <v>#REF!</v>
      </c>
      <c r="P87" s="8">
        <f t="shared" si="35"/>
        <v>165802071.647838</v>
      </c>
      <c r="Q87" s="8" t="e">
        <f t="shared" si="35"/>
        <v>#REF!</v>
      </c>
      <c r="R87" s="8" t="e">
        <f t="shared" si="35"/>
        <v>#REF!</v>
      </c>
      <c r="S87" s="8">
        <f t="shared" si="35"/>
        <v>0</v>
      </c>
      <c r="T87" s="8" t="e">
        <f t="shared" si="35"/>
        <v>#REF!</v>
      </c>
      <c r="U87" s="8">
        <f t="shared" si="35"/>
        <v>0</v>
      </c>
      <c r="V87" s="8">
        <f t="shared" si="35"/>
        <v>0</v>
      </c>
      <c r="W87" s="8">
        <f t="shared" si="35"/>
        <v>0</v>
      </c>
      <c r="X87" s="8">
        <f t="shared" si="35"/>
        <v>0</v>
      </c>
      <c r="Y87" s="8">
        <f t="shared" si="35"/>
        <v>0</v>
      </c>
      <c r="Z87" s="8">
        <f t="shared" si="35"/>
        <v>0</v>
      </c>
      <c r="AA87" s="8" t="e">
        <f t="shared" si="35"/>
        <v>#REF!</v>
      </c>
      <c r="AB87" s="8">
        <f t="shared" si="35"/>
        <v>755692320.53783798</v>
      </c>
      <c r="AC87" s="8" t="e">
        <f t="shared" si="35"/>
        <v>#REF!</v>
      </c>
      <c r="AD87" s="31" t="e">
        <f>+AC87/AA87</f>
        <v>#REF!</v>
      </c>
      <c r="AE87" s="34" t="e">
        <f>+H87/F87</f>
        <v>#REF!</v>
      </c>
      <c r="AF87" s="39"/>
      <c r="AG87" s="39"/>
      <c r="AH87" s="2"/>
      <c r="AI87" s="2"/>
      <c r="AK87" s="2"/>
    </row>
    <row r="88" spans="1:38" s="1" customFormat="1" x14ac:dyDescent="0.25">
      <c r="A88" s="12" t="s">
        <v>62</v>
      </c>
      <c r="B88" s="15">
        <f>+B87+B34+B24</f>
        <v>13708301636</v>
      </c>
      <c r="C88" s="15">
        <f>+C87+C34+C24</f>
        <v>1232636553.2146487</v>
      </c>
      <c r="D88" s="15">
        <f t="shared" ref="D88:AC88" si="36">+D87+D34+D24</f>
        <v>334717391.36000001</v>
      </c>
      <c r="E88" s="15">
        <f t="shared" si="36"/>
        <v>897919161.85464871</v>
      </c>
      <c r="F88" s="15" t="e">
        <f t="shared" si="36"/>
        <v>#REF!</v>
      </c>
      <c r="G88" s="15">
        <f t="shared" si="36"/>
        <v>502692578.63999999</v>
      </c>
      <c r="H88" s="15" t="e">
        <f t="shared" si="36"/>
        <v>#REF!</v>
      </c>
      <c r="I88" s="15" t="e">
        <f t="shared" si="36"/>
        <v>#REF!</v>
      </c>
      <c r="J88" s="15" t="e">
        <f t="shared" si="36"/>
        <v>#REF!</v>
      </c>
      <c r="K88" s="15" t="e">
        <f t="shared" si="36"/>
        <v>#REF!</v>
      </c>
      <c r="L88" s="15" t="e">
        <f t="shared" si="36"/>
        <v>#REF!</v>
      </c>
      <c r="M88" s="15" t="e">
        <f t="shared" si="36"/>
        <v>#REF!</v>
      </c>
      <c r="N88" s="15" t="e">
        <f t="shared" si="36"/>
        <v>#REF!</v>
      </c>
      <c r="O88" s="15" t="e">
        <f t="shared" si="36"/>
        <v>#REF!</v>
      </c>
      <c r="P88" s="15" t="e">
        <f t="shared" si="36"/>
        <v>#REF!</v>
      </c>
      <c r="Q88" s="15" t="e">
        <f t="shared" si="36"/>
        <v>#REF!</v>
      </c>
      <c r="R88" s="15" t="e">
        <f t="shared" si="36"/>
        <v>#REF!</v>
      </c>
      <c r="S88" s="15" t="e">
        <f t="shared" si="36"/>
        <v>#REF!</v>
      </c>
      <c r="T88" s="15" t="e">
        <f t="shared" si="36"/>
        <v>#REF!</v>
      </c>
      <c r="U88" s="15">
        <f t="shared" si="36"/>
        <v>0</v>
      </c>
      <c r="V88" s="15">
        <f t="shared" si="36"/>
        <v>0</v>
      </c>
      <c r="W88" s="15">
        <f t="shared" si="36"/>
        <v>0</v>
      </c>
      <c r="X88" s="15">
        <f t="shared" si="36"/>
        <v>0</v>
      </c>
      <c r="Y88" s="15">
        <f t="shared" si="36"/>
        <v>0</v>
      </c>
      <c r="Z88" s="15">
        <f t="shared" si="36"/>
        <v>0</v>
      </c>
      <c r="AA88" s="15" t="e">
        <f>+AA87+AA34+AA24</f>
        <v>#REF!</v>
      </c>
      <c r="AB88" s="15" t="e">
        <f t="shared" si="36"/>
        <v>#VALUE!</v>
      </c>
      <c r="AC88" s="15" t="e">
        <f t="shared" si="36"/>
        <v>#REF!</v>
      </c>
      <c r="AD88" s="31" t="e">
        <f>+AC88/AA88</f>
        <v>#REF!</v>
      </c>
      <c r="AE88" s="34" t="e">
        <f>+H88/F88</f>
        <v>#REF!</v>
      </c>
      <c r="AF88" s="40" t="e">
        <f>+Q87/O87*100</f>
        <v>#REF!</v>
      </c>
      <c r="AG88" s="40"/>
      <c r="AH88" s="2"/>
      <c r="AI88" s="2"/>
    </row>
    <row r="89" spans="1:38" ht="19.5" thickBot="1" x14ac:dyDescent="0.3">
      <c r="A89" s="13" t="s">
        <v>0</v>
      </c>
      <c r="B89" s="9">
        <f>+B12-B88</f>
        <v>-9274299629.9527454</v>
      </c>
      <c r="C89" s="9">
        <f>+C12-C88</f>
        <v>-851644203.21464872</v>
      </c>
      <c r="D89" s="9">
        <f t="shared" ref="D89:AC89" si="37">+D12-D88</f>
        <v>-299698994.05000001</v>
      </c>
      <c r="E89" s="9">
        <f t="shared" si="37"/>
        <v>-551945209.16464877</v>
      </c>
      <c r="F89" s="9" t="e">
        <f t="shared" si="37"/>
        <v>#REF!</v>
      </c>
      <c r="G89" s="9">
        <f t="shared" si="37"/>
        <v>-468930778.63999999</v>
      </c>
      <c r="H89" s="9" t="e">
        <f t="shared" si="37"/>
        <v>#REF!</v>
      </c>
      <c r="I89" s="9" t="e">
        <f t="shared" si="37"/>
        <v>#REF!</v>
      </c>
      <c r="J89" s="9" t="e">
        <f t="shared" si="37"/>
        <v>#REF!</v>
      </c>
      <c r="K89" s="9" t="e">
        <f t="shared" si="37"/>
        <v>#REF!</v>
      </c>
      <c r="L89" s="9" t="e">
        <f t="shared" si="37"/>
        <v>#REF!</v>
      </c>
      <c r="M89" s="9" t="e">
        <f t="shared" si="37"/>
        <v>#REF!</v>
      </c>
      <c r="N89" s="9" t="e">
        <f t="shared" si="37"/>
        <v>#REF!</v>
      </c>
      <c r="O89" s="9" t="e">
        <f t="shared" si="37"/>
        <v>#REF!</v>
      </c>
      <c r="P89" s="9" t="e">
        <f t="shared" si="37"/>
        <v>#REF!</v>
      </c>
      <c r="Q89" s="9" t="e">
        <f t="shared" si="37"/>
        <v>#REF!</v>
      </c>
      <c r="R89" s="9" t="e">
        <f t="shared" si="37"/>
        <v>#REF!</v>
      </c>
      <c r="S89" s="9" t="e">
        <f t="shared" si="37"/>
        <v>#REF!</v>
      </c>
      <c r="T89" s="9" t="e">
        <f t="shared" si="37"/>
        <v>#REF!</v>
      </c>
      <c r="U89" s="9">
        <f t="shared" si="37"/>
        <v>0</v>
      </c>
      <c r="V89" s="9">
        <f t="shared" si="37"/>
        <v>0</v>
      </c>
      <c r="W89" s="9">
        <f t="shared" si="37"/>
        <v>0</v>
      </c>
      <c r="X89" s="9">
        <f t="shared" si="37"/>
        <v>0</v>
      </c>
      <c r="Y89" s="9">
        <f t="shared" si="37"/>
        <v>0</v>
      </c>
      <c r="Z89" s="9">
        <f t="shared" si="37"/>
        <v>0</v>
      </c>
      <c r="AA89" s="9" t="e">
        <f t="shared" si="37"/>
        <v>#REF!</v>
      </c>
      <c r="AB89" s="9" t="e">
        <f t="shared" si="37"/>
        <v>#VALUE!</v>
      </c>
      <c r="AC89" s="9" t="e">
        <f t="shared" si="37"/>
        <v>#REF!</v>
      </c>
      <c r="AD89" s="32" t="e">
        <f>+AC89/AA89</f>
        <v>#REF!</v>
      </c>
      <c r="AE89" s="34" t="e">
        <f>+H89/F89</f>
        <v>#REF!</v>
      </c>
      <c r="AF89" s="41"/>
      <c r="AG89" s="41"/>
      <c r="AH89" s="2"/>
      <c r="AI89" s="2"/>
    </row>
    <row r="90" spans="1:38" x14ac:dyDescent="0.25">
      <c r="D90" s="2"/>
      <c r="G90" s="40"/>
      <c r="H90" s="40"/>
      <c r="I90" s="2"/>
      <c r="J90" s="2"/>
      <c r="K90" s="2"/>
      <c r="R90" s="2">
        <f>+'202401anual'!H144-9590000000</f>
        <v>-8858869595.3436146</v>
      </c>
      <c r="S90" s="2"/>
      <c r="T90" s="2"/>
      <c r="V90" s="2"/>
      <c r="W90" s="2"/>
      <c r="X90" s="2"/>
      <c r="Y90" s="2"/>
      <c r="AI90" s="2"/>
    </row>
    <row r="91" spans="1:38" x14ac:dyDescent="0.25">
      <c r="G91" s="35"/>
      <c r="H91" s="35"/>
      <c r="I91" s="2" t="s">
        <v>59</v>
      </c>
      <c r="J91" s="2"/>
      <c r="K91" s="2"/>
      <c r="P91" s="24" t="e">
        <f>+P88/O88*100</f>
        <v>#REF!</v>
      </c>
      <c r="R91" s="2"/>
      <c r="S91" s="2"/>
      <c r="T91" s="2"/>
      <c r="V91" s="2"/>
      <c r="AB91" s="2" t="e">
        <f>+D89+G89+J89+M89+P89+S89</f>
        <v>#REF!</v>
      </c>
      <c r="AC91" s="2"/>
      <c r="AF91" s="2"/>
      <c r="AI91" s="2" t="e">
        <f>+#REF!</f>
        <v>#REF!</v>
      </c>
      <c r="AJ91" s="20"/>
      <c r="AL91" s="2"/>
    </row>
    <row r="92" spans="1:38" x14ac:dyDescent="0.25">
      <c r="B92" s="2"/>
      <c r="I92" s="2"/>
      <c r="J92" s="2"/>
      <c r="K92" s="2"/>
      <c r="R92" s="2" t="e">
        <f>+C88+F88+I88+L88+O88+R88</f>
        <v>#REF!</v>
      </c>
      <c r="S92" s="2"/>
      <c r="T92" s="2"/>
      <c r="V92" s="2"/>
      <c r="AB92" s="2" t="e">
        <f>+C88+F88+I88+L88+O88+R88</f>
        <v>#REF!</v>
      </c>
      <c r="AI92" s="2">
        <f>815000000*1.07</f>
        <v>872050000</v>
      </c>
      <c r="AJ92" s="20"/>
      <c r="AL92" s="2"/>
    </row>
    <row r="93" spans="1:38" x14ac:dyDescent="0.25">
      <c r="B93" s="2"/>
      <c r="V93" s="2"/>
      <c r="AB93" s="2" t="e">
        <f>+E89+H89+K89+N89+Q89+S89</f>
        <v>#REF!</v>
      </c>
      <c r="AC93" s="3"/>
      <c r="AF93" s="2"/>
      <c r="AI93" s="2">
        <v>-1173139539</v>
      </c>
      <c r="AJ93" s="20"/>
    </row>
    <row r="94" spans="1:38" x14ac:dyDescent="0.25">
      <c r="V94" s="2"/>
      <c r="AC94" s="2"/>
      <c r="AI94" s="2">
        <v>-272818809</v>
      </c>
      <c r="AJ94" s="20">
        <v>371527244</v>
      </c>
      <c r="AK94" s="2">
        <f>+AJ94+AI94</f>
        <v>98708435</v>
      </c>
    </row>
    <row r="95" spans="1:38" x14ac:dyDescent="0.25">
      <c r="B95" s="2"/>
      <c r="V95" s="2"/>
      <c r="AC95" s="2"/>
      <c r="AI95" s="2">
        <f>-(2000000-1920114)*12</f>
        <v>-958632</v>
      </c>
      <c r="AJ95" s="2"/>
    </row>
    <row r="96" spans="1:38" x14ac:dyDescent="0.25">
      <c r="D96" s="2"/>
      <c r="E96" s="2"/>
      <c r="V96" s="2"/>
      <c r="AA96" s="2"/>
      <c r="AB96" s="2"/>
      <c r="AC96" s="3"/>
      <c r="AI96" s="2">
        <v>-49700000</v>
      </c>
      <c r="AJ96" s="2"/>
    </row>
    <row r="97" spans="3:35" x14ac:dyDescent="0.25">
      <c r="C97" s="3"/>
      <c r="D97" s="3"/>
      <c r="E97" s="42"/>
      <c r="AB97" s="2"/>
      <c r="AC97" s="24"/>
      <c r="AI97" s="2" t="e">
        <f>-AC33</f>
        <v>#REF!</v>
      </c>
    </row>
    <row r="98" spans="3:35" x14ac:dyDescent="0.25">
      <c r="D98" s="2"/>
      <c r="AB98" s="2"/>
      <c r="AI98" s="2">
        <f>-AC81</f>
        <v>0</v>
      </c>
    </row>
    <row r="99" spans="3:35" x14ac:dyDescent="0.25">
      <c r="AI99" s="2">
        <f>+AH23</f>
        <v>0</v>
      </c>
    </row>
    <row r="100" spans="3:35" x14ac:dyDescent="0.25">
      <c r="D100" s="2"/>
      <c r="AI100" s="2" t="e">
        <f>SUM(AI91:AI99)</f>
        <v>#REF!</v>
      </c>
    </row>
    <row r="101" spans="3:35" x14ac:dyDescent="0.25">
      <c r="AB101" s="2"/>
      <c r="AI101" s="2" t="e">
        <f>+AI100-AC89</f>
        <v>#REF!</v>
      </c>
    </row>
    <row r="104" spans="3:35" x14ac:dyDescent="0.25">
      <c r="P104" s="2"/>
    </row>
  </sheetData>
  <autoFilter ref="A5:AD89" xr:uid="{4C861BE8-7E5D-4966-A65F-7599F5FEBCAA}"/>
  <mergeCells count="9">
    <mergeCell ref="A1:C1"/>
    <mergeCell ref="A3:AD3"/>
    <mergeCell ref="C4:E4"/>
    <mergeCell ref="F4:H4"/>
    <mergeCell ref="I4:K4"/>
    <mergeCell ref="L4:N4"/>
    <mergeCell ref="O4:Q4"/>
    <mergeCell ref="R4:T4"/>
    <mergeCell ref="AA4:AD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7BA-7178-4E52-A3DE-25B29DEDE3B6}">
  <dimension ref="A1:Z162"/>
  <sheetViews>
    <sheetView showGridLines="0" zoomScale="86" zoomScaleNormal="86" workbookViewId="0">
      <pane xSplit="2" ySplit="5" topLeftCell="H11" activePane="bottomRight" state="frozen"/>
      <selection activeCell="F87" sqref="F87"/>
      <selection pane="topRight" activeCell="F87" sqref="F87"/>
      <selection pane="bottomLeft" activeCell="F87" sqref="F87"/>
      <selection pane="bottomRight" activeCell="M40" sqref="M40"/>
    </sheetView>
  </sheetViews>
  <sheetFormatPr baseColWidth="10" defaultColWidth="11.42578125" defaultRowHeight="15" x14ac:dyDescent="0.25"/>
  <cols>
    <col min="1" max="1" width="54.140625" customWidth="1"/>
    <col min="2" max="2" width="15.5703125" bestFit="1" customWidth="1"/>
    <col min="3" max="3" width="15.5703125" customWidth="1"/>
    <col min="4" max="12" width="17.28515625" customWidth="1"/>
    <col min="13" max="13" width="16.7109375" customWidth="1"/>
    <col min="14" max="14" width="16.7109375" bestFit="1" customWidth="1"/>
    <col min="15" max="15" width="17.85546875" bestFit="1" customWidth="1"/>
    <col min="16" max="16" width="19.7109375" bestFit="1" customWidth="1"/>
    <col min="17" max="17" width="15.85546875" bestFit="1" customWidth="1"/>
    <col min="18" max="18" width="18.42578125" bestFit="1" customWidth="1"/>
    <col min="19" max="19" width="15.5703125" customWidth="1"/>
    <col min="20" max="20" width="17.28515625" customWidth="1"/>
    <col min="21" max="21" width="18.42578125" customWidth="1"/>
    <col min="22" max="24" width="15.5703125" customWidth="1"/>
    <col min="25" max="26" width="14" customWidth="1"/>
    <col min="27" max="27" width="11.42578125" customWidth="1"/>
  </cols>
  <sheetData>
    <row r="1" spans="1:20" x14ac:dyDescent="0.25">
      <c r="A1" s="127" t="s">
        <v>51</v>
      </c>
      <c r="B1" s="127"/>
      <c r="C1" s="127"/>
    </row>
    <row r="2" spans="1:20" x14ac:dyDescent="0.25">
      <c r="A2" s="14"/>
      <c r="B2" s="14"/>
      <c r="C2" s="14"/>
    </row>
    <row r="3" spans="1:20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23"/>
      <c r="Q3" s="23"/>
      <c r="R3" s="23"/>
    </row>
    <row r="4" spans="1:20" ht="15.75" thickBot="1" x14ac:dyDescent="0.3">
      <c r="A4" s="23"/>
      <c r="B4" s="23"/>
      <c r="C4" s="25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44"/>
      <c r="P4" s="23"/>
      <c r="Q4" s="23"/>
      <c r="R4" s="23"/>
    </row>
    <row r="5" spans="1:20" s="19" customFormat="1" ht="30" x14ac:dyDescent="0.25">
      <c r="A5" s="16" t="s">
        <v>50</v>
      </c>
      <c r="B5" s="17" t="s">
        <v>126</v>
      </c>
      <c r="C5" s="17" t="s">
        <v>40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6</v>
      </c>
      <c r="I5" s="17" t="s">
        <v>5</v>
      </c>
      <c r="J5" s="17" t="s">
        <v>45</v>
      </c>
      <c r="K5" s="17" t="s">
        <v>46</v>
      </c>
      <c r="L5" s="17" t="s">
        <v>47</v>
      </c>
      <c r="M5" s="17" t="s">
        <v>4</v>
      </c>
      <c r="N5" s="17" t="s">
        <v>3</v>
      </c>
      <c r="O5" s="28" t="s">
        <v>102</v>
      </c>
      <c r="P5" s="33"/>
      <c r="Q5" s="33"/>
      <c r="R5" s="33"/>
    </row>
    <row r="6" spans="1:20" x14ac:dyDescent="0.25">
      <c r="A6" s="5" t="s">
        <v>94</v>
      </c>
      <c r="B6" s="4">
        <v>286278840.2954188</v>
      </c>
      <c r="C6" s="4">
        <f>+'[7]Planeación 2024 P&amp;K'!L6</f>
        <v>23497414.696837816</v>
      </c>
      <c r="D6" s="4">
        <f>+'[7]Planeación 2024 P&amp;K'!M6</f>
        <v>23497414.696837816</v>
      </c>
      <c r="E6" s="4">
        <f>+'[7]Planeación 2024 P&amp;K'!N6</f>
        <v>23497414.696837816</v>
      </c>
      <c r="F6" s="4">
        <v>23497414.696837816</v>
      </c>
      <c r="G6" s="4">
        <f>+'[7]Planeación 2024 P&amp;K'!$P6</f>
        <v>23497414.696837816</v>
      </c>
      <c r="H6" s="4">
        <f>+'[7]Planeación 2024 P&amp;K'!$Q6</f>
        <v>23497414.696837816</v>
      </c>
      <c r="I6" s="4">
        <f>+'[7]Planeación 2024 P&amp;K'!$R6</f>
        <v>23497414.696837816</v>
      </c>
      <c r="J6" s="4">
        <f>+'[7]Planeación 2024 P&amp;K'!$S6</f>
        <v>24359387.483510818</v>
      </c>
      <c r="K6" s="4">
        <v>24359387.483510818</v>
      </c>
      <c r="L6" s="4">
        <f>+'[7]Planeación 2024 P&amp;K'!$S6</f>
        <v>24359387.483510818</v>
      </c>
      <c r="M6" s="4">
        <f>+'[7]Planeación 2024 P&amp;K'!$S6</f>
        <v>24359387.483510818</v>
      </c>
      <c r="N6" s="4">
        <f>+'[7]Planeación 2024 P&amp;K'!$S6</f>
        <v>24359387.483510818</v>
      </c>
      <c r="O6" s="4">
        <f>SUM(C6:N6)</f>
        <v>286278840.2954188</v>
      </c>
      <c r="P6" s="34">
        <f>+O6-B6</f>
        <v>0</v>
      </c>
      <c r="Q6" s="40">
        <f>SUM(C6:N6)-O6</f>
        <v>0</v>
      </c>
      <c r="R6" s="34">
        <f>SUM(O6:O12)</f>
        <v>2476225185.9917464</v>
      </c>
      <c r="S6" s="2"/>
      <c r="T6" s="2"/>
    </row>
    <row r="7" spans="1:20" x14ac:dyDescent="0.25">
      <c r="A7" s="5" t="s">
        <v>95</v>
      </c>
      <c r="B7" s="4">
        <v>841051204.84357905</v>
      </c>
      <c r="C7" s="4">
        <f>+'[7]Planeación 2024 P&amp;K'!L7</f>
        <v>69032447.25</v>
      </c>
      <c r="D7" s="4">
        <f>+'[7]Planeación 2024 P&amp;K'!M7</f>
        <v>69032447.25</v>
      </c>
      <c r="E7" s="4">
        <f>+'[7]Planeación 2024 P&amp;K'!N7</f>
        <v>69032447.25</v>
      </c>
      <c r="F7" s="4">
        <v>69032447.25</v>
      </c>
      <c r="G7" s="4">
        <f>+'[7]Planeación 2024 P&amp;K'!$P7</f>
        <v>69032447.25</v>
      </c>
      <c r="H7" s="4">
        <f>+'[7]Planeación 2024 P&amp;K'!$Q7</f>
        <v>69032447.25</v>
      </c>
      <c r="I7" s="4">
        <f>+'[7]Planeación 2024 P&amp;K'!$R7</f>
        <v>69032447.25</v>
      </c>
      <c r="J7" s="4">
        <f>+'[7]Planeación 2024 P&amp;K'!$S7</f>
        <v>71564814.81871587</v>
      </c>
      <c r="K7" s="4">
        <v>71564814.81871587</v>
      </c>
      <c r="L7" s="4">
        <f>+'[7]Planeación 2024 P&amp;K'!$S7</f>
        <v>71564814.81871587</v>
      </c>
      <c r="M7" s="4">
        <f>+'[7]Planeación 2024 P&amp;K'!$S7</f>
        <v>71564814.81871587</v>
      </c>
      <c r="N7" s="4">
        <f>+'[7]Planeación 2024 P&amp;K'!$S7</f>
        <v>71564814.81871587</v>
      </c>
      <c r="O7" s="4">
        <f t="shared" ref="O7:O13" si="0">SUM(C7:N7)</f>
        <v>841051204.84357905</v>
      </c>
      <c r="P7" s="34">
        <f t="shared" ref="P7:P71" si="1">+O7-B7</f>
        <v>0</v>
      </c>
      <c r="Q7" s="40">
        <f t="shared" ref="Q7:Q71" si="2">SUM(C7:N7)-O7</f>
        <v>0</v>
      </c>
      <c r="R7" s="35">
        <f>SUM(C6:H13)</f>
        <v>3650458863.3387961</v>
      </c>
      <c r="S7" s="2"/>
      <c r="T7" s="2"/>
    </row>
    <row r="8" spans="1:20" x14ac:dyDescent="0.25">
      <c r="A8" s="5" t="s">
        <v>127</v>
      </c>
      <c r="B8" s="4">
        <v>18000000</v>
      </c>
      <c r="C8" s="4">
        <f>+'[7]Planeación 2024 P&amp;K'!L8</f>
        <v>1500000</v>
      </c>
      <c r="D8" s="4">
        <f>+'[7]Planeación 2024 P&amp;K'!M8</f>
        <v>1500000</v>
      </c>
      <c r="E8" s="4">
        <f>+'[7]Planeación 2024 P&amp;K'!N8</f>
        <v>1500000</v>
      </c>
      <c r="F8" s="4">
        <v>1500000</v>
      </c>
      <c r="G8" s="4">
        <f>+'[7]Planeación 2024 P&amp;K'!$P8</f>
        <v>1500000</v>
      </c>
      <c r="H8" s="4">
        <f>+'[7]Planeación 2024 P&amp;K'!$Q8</f>
        <v>1500000</v>
      </c>
      <c r="I8" s="4">
        <f>+'[7]Planeación 2024 P&amp;K'!$R8</f>
        <v>1500000</v>
      </c>
      <c r="J8" s="4">
        <f>+'[7]Planeación 2024 P&amp;K'!$S8</f>
        <v>1500000</v>
      </c>
      <c r="K8" s="4">
        <v>1500000</v>
      </c>
      <c r="L8" s="4">
        <f>+'[7]Planeación 2024 P&amp;K'!$S8</f>
        <v>1500000</v>
      </c>
      <c r="M8" s="4">
        <f>+'[7]Planeación 2024 P&amp;K'!$S8</f>
        <v>1500000</v>
      </c>
      <c r="N8" s="4">
        <f>+'[7]Planeación 2024 P&amp;K'!$S8</f>
        <v>1500000</v>
      </c>
      <c r="O8" s="4">
        <f t="shared" si="0"/>
        <v>18000000</v>
      </c>
      <c r="P8" s="34">
        <f t="shared" si="1"/>
        <v>0</v>
      </c>
      <c r="Q8" s="40">
        <f t="shared" si="2"/>
        <v>0</v>
      </c>
      <c r="R8" s="34"/>
      <c r="S8" s="2"/>
      <c r="T8" s="2"/>
    </row>
    <row r="9" spans="1:20" x14ac:dyDescent="0.25">
      <c r="A9" s="5" t="s">
        <v>128</v>
      </c>
      <c r="B9" s="4">
        <v>792000</v>
      </c>
      <c r="C9" s="4">
        <f>+'[7]Planeación 2024 P&amp;K'!L9</f>
        <v>66000</v>
      </c>
      <c r="D9" s="4">
        <f>+'[7]Planeación 2024 P&amp;K'!M9</f>
        <v>66000</v>
      </c>
      <c r="E9" s="4">
        <f>+'[7]Planeación 2024 P&amp;K'!N9</f>
        <v>66000</v>
      </c>
      <c r="F9" s="4">
        <v>66000</v>
      </c>
      <c r="G9" s="4">
        <f>+'[7]Planeación 2024 P&amp;K'!$P9</f>
        <v>66000</v>
      </c>
      <c r="H9" s="4">
        <f>+'[7]Planeación 2024 P&amp;K'!$Q9</f>
        <v>66000</v>
      </c>
      <c r="I9" s="4">
        <f>+'[7]Planeación 2024 P&amp;K'!$R9</f>
        <v>66000</v>
      </c>
      <c r="J9" s="4">
        <f>+'[7]Planeación 2024 P&amp;K'!$S9</f>
        <v>66000</v>
      </c>
      <c r="K9" s="4">
        <v>66000</v>
      </c>
      <c r="L9" s="4">
        <f>+'[7]Planeación 2024 P&amp;K'!$S9</f>
        <v>66000</v>
      </c>
      <c r="M9" s="4">
        <f>+'[7]Planeación 2024 P&amp;K'!$S9</f>
        <v>66000</v>
      </c>
      <c r="N9" s="4">
        <f>+'[7]Planeación 2024 P&amp;K'!$S9</f>
        <v>66000</v>
      </c>
      <c r="O9" s="4">
        <f t="shared" si="0"/>
        <v>792000</v>
      </c>
      <c r="P9" s="34">
        <f t="shared" si="1"/>
        <v>0</v>
      </c>
      <c r="Q9" s="40">
        <f t="shared" si="2"/>
        <v>0</v>
      </c>
      <c r="R9" s="34"/>
      <c r="S9" s="2"/>
      <c r="T9" s="2"/>
    </row>
    <row r="10" spans="1:20" x14ac:dyDescent="0.25">
      <c r="A10" s="5" t="s">
        <v>129</v>
      </c>
      <c r="B10" s="4">
        <v>1320797910.4947624</v>
      </c>
      <c r="C10" s="4">
        <f>+'[7]Planeación 2024 P&amp;K'!L10</f>
        <v>80662092.893341199</v>
      </c>
      <c r="D10" s="4">
        <f>+'[7]Planeación 2024 P&amp;K'!M10</f>
        <v>87150663.773341209</v>
      </c>
      <c r="E10" s="4">
        <f>+'[7]Planeación 2024 P&amp;K'!N10</f>
        <v>93639234.653341204</v>
      </c>
      <c r="F10" s="4">
        <f>+'[7]Planeación 2024 P&amp;K'!$O10</f>
        <v>100127805.5333412</v>
      </c>
      <c r="G10" s="4">
        <f>+'[7]Planeación 2024 P&amp;K'!$P10</f>
        <v>106616376.41334119</v>
      </c>
      <c r="H10" s="4">
        <f>+'[7]Planeación 2024 P&amp;K'!$Q10</f>
        <v>113104947.2933412</v>
      </c>
      <c r="I10" s="4">
        <f>+'[7]Planeación 2024 P&amp;K'!$R10</f>
        <v>119593518.1733412</v>
      </c>
      <c r="J10" s="4">
        <f>+'[7]Planeación 2024 P&amp;K'!$S10</f>
        <v>123980654.35227481</v>
      </c>
      <c r="K10" s="4">
        <v>123980654.35227481</v>
      </c>
      <c r="L10" s="4">
        <f>+'[7]Planeación 2024 P&amp;K'!$S10</f>
        <v>123980654.35227481</v>
      </c>
      <c r="M10" s="4">
        <f>+'[7]Planeación 2024 P&amp;K'!$S10</f>
        <v>123980654.35227481</v>
      </c>
      <c r="N10" s="4">
        <f>+'[7]Planeación 2024 P&amp;K'!$S10</f>
        <v>123980654.35227481</v>
      </c>
      <c r="O10" s="4">
        <f t="shared" si="0"/>
        <v>1320797910.4947624</v>
      </c>
      <c r="P10" s="34">
        <f t="shared" si="1"/>
        <v>0</v>
      </c>
      <c r="Q10" s="40">
        <f t="shared" si="2"/>
        <v>0</v>
      </c>
      <c r="R10" s="34"/>
      <c r="S10" s="2"/>
      <c r="T10" s="2"/>
    </row>
    <row r="11" spans="1:20" x14ac:dyDescent="0.25">
      <c r="A11" s="5" t="str">
        <f>+'[8]Planeación 2024 P&amp;K Hoja de W'!$C$10</f>
        <v>Cargo fijo alcantarillado</v>
      </c>
      <c r="B11" s="4">
        <v>3454191.2229688521</v>
      </c>
      <c r="C11" s="4">
        <f>+'[7]Planeación 2024 P&amp;K'!L11</f>
        <v>283515.76220065932</v>
      </c>
      <c r="D11" s="4">
        <f>+'[7]Planeación 2024 P&amp;K'!M11</f>
        <v>283515.76220065932</v>
      </c>
      <c r="E11" s="4">
        <f>+'[7]Planeación 2024 P&amp;K'!N11</f>
        <v>283515.76220065932</v>
      </c>
      <c r="F11" s="4">
        <f>+'[7]Planeación 2024 P&amp;K'!$O11</f>
        <v>283515.76220065932</v>
      </c>
      <c r="G11" s="4">
        <f>+'[7]Planeación 2024 P&amp;K'!$P11</f>
        <v>283515.76220065932</v>
      </c>
      <c r="H11" s="4">
        <f>+'[7]Planeación 2024 P&amp;K'!$Q11</f>
        <v>283515.76220065932</v>
      </c>
      <c r="I11" s="4">
        <f>+'[7]Planeación 2024 P&amp;K'!$R11</f>
        <v>283515.76220065932</v>
      </c>
      <c r="J11" s="4">
        <f>+'[7]Planeación 2024 P&amp;K'!$S11</f>
        <v>293916.17751284735</v>
      </c>
      <c r="K11" s="4">
        <v>293916.17751284735</v>
      </c>
      <c r="L11" s="4">
        <f>+'[7]Planeación 2024 P&amp;K'!$S11</f>
        <v>293916.17751284735</v>
      </c>
      <c r="M11" s="4">
        <f>+'[7]Planeación 2024 P&amp;K'!$S11</f>
        <v>293916.17751284735</v>
      </c>
      <c r="N11" s="4">
        <f>+'[7]Planeación 2024 P&amp;K'!$S11</f>
        <v>293916.17751284735</v>
      </c>
      <c r="O11" s="4">
        <f t="shared" si="0"/>
        <v>3454191.2229688521</v>
      </c>
      <c r="P11" s="34">
        <f t="shared" si="1"/>
        <v>0</v>
      </c>
      <c r="Q11" s="40">
        <f t="shared" si="2"/>
        <v>0</v>
      </c>
      <c r="R11" s="34"/>
      <c r="S11" s="2"/>
      <c r="T11" s="2"/>
    </row>
    <row r="12" spans="1:20" x14ac:dyDescent="0.25">
      <c r="A12" s="5" t="str">
        <f>+'[8]Planeación 2024 P&amp;K Hoja de W'!$C$11</f>
        <v>Cargo variable alcantarillado</v>
      </c>
      <c r="B12" s="4">
        <v>5851039.1350167179</v>
      </c>
      <c r="C12" s="4">
        <f>+'[7]Planeación 2024 P&amp;K'!L12</f>
        <v>480246.0874196685</v>
      </c>
      <c r="D12" s="4">
        <f>+'[7]Planeación 2024 P&amp;K'!M12</f>
        <v>480246.0874196685</v>
      </c>
      <c r="E12" s="4">
        <f>+'[7]Planeación 2024 P&amp;K'!N12</f>
        <v>480246.0874196685</v>
      </c>
      <c r="F12" s="4">
        <f>+'[7]Planeación 2024 P&amp;K'!$O12</f>
        <v>480246.0874196685</v>
      </c>
      <c r="G12" s="4">
        <f>+'[7]Planeación 2024 P&amp;K'!$P12</f>
        <v>480246.0874196685</v>
      </c>
      <c r="H12" s="4">
        <f>+'[7]Planeación 2024 P&amp;K'!$Q12</f>
        <v>480246.0874196685</v>
      </c>
      <c r="I12" s="4">
        <f>+'[7]Planeación 2024 P&amp;K'!$R12</f>
        <v>480246.0874196685</v>
      </c>
      <c r="J12" s="4">
        <f>+'[7]Planeación 2024 P&amp;K'!$S12</f>
        <v>497863.30461580743</v>
      </c>
      <c r="K12" s="4">
        <v>497863.30461580743</v>
      </c>
      <c r="L12" s="4">
        <f>+'[7]Planeación 2024 P&amp;K'!$S12</f>
        <v>497863.30461580743</v>
      </c>
      <c r="M12" s="4">
        <f>+'[7]Planeación 2024 P&amp;K'!$S12</f>
        <v>497863.30461580743</v>
      </c>
      <c r="N12" s="4">
        <f>+'[7]Planeación 2024 P&amp;K'!$S12</f>
        <v>497863.30461580743</v>
      </c>
      <c r="O12" s="4">
        <f t="shared" si="0"/>
        <v>5851039.1350167179</v>
      </c>
      <c r="P12" s="34">
        <f t="shared" si="1"/>
        <v>0</v>
      </c>
      <c r="Q12" s="40">
        <f t="shared" si="2"/>
        <v>0</v>
      </c>
      <c r="R12" s="34"/>
      <c r="S12" s="2"/>
      <c r="T12" s="2"/>
    </row>
    <row r="13" spans="1:20" x14ac:dyDescent="0.25">
      <c r="A13" s="5" t="s">
        <v>130</v>
      </c>
      <c r="B13" s="4">
        <f>7463357206.80256-97627616-276841800</f>
        <v>7088887790.8025599</v>
      </c>
      <c r="C13" s="4"/>
      <c r="D13" s="4"/>
      <c r="E13" s="4">
        <v>2500000000</v>
      </c>
      <c r="F13" s="4"/>
      <c r="G13" s="4"/>
      <c r="H13" s="4"/>
      <c r="I13" s="4">
        <f>4963357207-374469416.2</f>
        <v>4588887790.8000002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f t="shared" si="0"/>
        <v>7088887790.8000002</v>
      </c>
      <c r="P13" s="34">
        <f t="shared" si="1"/>
        <v>-2.559661865234375E-3</v>
      </c>
      <c r="Q13" s="40">
        <f t="shared" si="2"/>
        <v>0</v>
      </c>
      <c r="R13" s="34"/>
      <c r="S13" s="2"/>
      <c r="T13" s="2"/>
    </row>
    <row r="14" spans="1:20" ht="18.75" x14ac:dyDescent="0.3">
      <c r="A14" s="11" t="s">
        <v>2</v>
      </c>
      <c r="B14" s="7">
        <f>SUM(B6:B13)</f>
        <v>9565112976.7943058</v>
      </c>
      <c r="C14" s="7">
        <f t="shared" ref="C14:N14" si="3">SUM(C6:C13)</f>
        <v>175521716.68979934</v>
      </c>
      <c r="D14" s="7">
        <f t="shared" si="3"/>
        <v>182010287.56979933</v>
      </c>
      <c r="E14" s="7">
        <f t="shared" si="3"/>
        <v>2688498858.4497995</v>
      </c>
      <c r="F14" s="7">
        <f t="shared" si="3"/>
        <v>194987429.32979932</v>
      </c>
      <c r="G14" s="7">
        <f t="shared" si="3"/>
        <v>201476000.20979932</v>
      </c>
      <c r="H14" s="7">
        <f t="shared" si="3"/>
        <v>207964571.08979931</v>
      </c>
      <c r="I14" s="7">
        <f t="shared" si="3"/>
        <v>4803340932.7697992</v>
      </c>
      <c r="J14" s="7">
        <f t="shared" si="3"/>
        <v>222262636.13663015</v>
      </c>
      <c r="K14" s="7">
        <f t="shared" si="3"/>
        <v>222262636.13663015</v>
      </c>
      <c r="L14" s="7">
        <f t="shared" si="3"/>
        <v>222262636.13663015</v>
      </c>
      <c r="M14" s="7">
        <f t="shared" si="3"/>
        <v>222262636.13663015</v>
      </c>
      <c r="N14" s="7">
        <f t="shared" si="3"/>
        <v>222262636.13663015</v>
      </c>
      <c r="O14" s="7">
        <f>SUM(O6:O13)</f>
        <v>9565112976.7917461</v>
      </c>
      <c r="P14" s="34">
        <f t="shared" si="1"/>
        <v>-2.559661865234375E-3</v>
      </c>
      <c r="Q14" s="40">
        <f t="shared" si="2"/>
        <v>0</v>
      </c>
      <c r="R14" s="35"/>
      <c r="S14" s="2"/>
      <c r="T14" s="2"/>
    </row>
    <row r="15" spans="1:20" x14ac:dyDescent="0.25">
      <c r="A15" s="5" t="s">
        <v>36</v>
      </c>
      <c r="B15" s="4">
        <v>975398331.34543312</v>
      </c>
      <c r="C15" s="4">
        <v>81283194</v>
      </c>
      <c r="D15" s="4">
        <f>+C15</f>
        <v>81283194</v>
      </c>
      <c r="E15" s="4">
        <f>+D15</f>
        <v>81283194</v>
      </c>
      <c r="F15" s="4">
        <f t="shared" ref="F15:M15" si="4">+E15</f>
        <v>81283194</v>
      </c>
      <c r="G15" s="4">
        <f>+F15</f>
        <v>81283194</v>
      </c>
      <c r="H15" s="4">
        <v>81283194</v>
      </c>
      <c r="I15" s="4">
        <f t="shared" si="4"/>
        <v>81283194</v>
      </c>
      <c r="J15" s="97">
        <f t="shared" si="4"/>
        <v>81283194</v>
      </c>
      <c r="K15" s="4">
        <f>+J15</f>
        <v>81283194</v>
      </c>
      <c r="L15" s="4">
        <f t="shared" si="4"/>
        <v>81283194</v>
      </c>
      <c r="M15" s="4">
        <f t="shared" si="4"/>
        <v>81283194</v>
      </c>
      <c r="N15" s="4">
        <f>+M15+3.35</f>
        <v>81283197.349999994</v>
      </c>
      <c r="O15" s="4">
        <f t="shared" ref="O15:O36" si="5">SUM(C15:N15)</f>
        <v>975398331.35000002</v>
      </c>
      <c r="P15" s="34">
        <f t="shared" si="1"/>
        <v>4.5669078826904297E-3</v>
      </c>
      <c r="Q15" s="40">
        <f t="shared" si="2"/>
        <v>0</v>
      </c>
      <c r="R15" s="36"/>
      <c r="S15" s="2"/>
      <c r="T15" s="2"/>
    </row>
    <row r="16" spans="1:20" ht="45" x14ac:dyDescent="0.25">
      <c r="A16" s="21" t="s">
        <v>65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5"/>
        <v>0</v>
      </c>
      <c r="P16" s="34">
        <f t="shared" si="1"/>
        <v>0</v>
      </c>
      <c r="Q16" s="40">
        <f t="shared" si="2"/>
        <v>0</v>
      </c>
      <c r="R16" s="36"/>
      <c r="S16" s="2"/>
      <c r="T16" s="2"/>
    </row>
    <row r="17" spans="1:26" x14ac:dyDescent="0.25">
      <c r="A17" s="57" t="s">
        <v>9</v>
      </c>
      <c r="B17" s="10">
        <f>SUM(B18:B25)</f>
        <v>242000000</v>
      </c>
      <c r="C17" s="10">
        <f t="shared" ref="C17:N17" si="6">SUM(C18:C25)</f>
        <v>8000000</v>
      </c>
      <c r="D17" s="10">
        <f t="shared" si="6"/>
        <v>20000000</v>
      </c>
      <c r="E17" s="10">
        <f t="shared" si="6"/>
        <v>12000000</v>
      </c>
      <c r="F17" s="10">
        <f t="shared" si="6"/>
        <v>8000000</v>
      </c>
      <c r="G17" s="10">
        <f t="shared" si="6"/>
        <v>71000000</v>
      </c>
      <c r="H17" s="10">
        <f t="shared" si="6"/>
        <v>24000000</v>
      </c>
      <c r="I17" s="10">
        <f t="shared" si="6"/>
        <v>24000000</v>
      </c>
      <c r="J17" s="10">
        <f t="shared" si="6"/>
        <v>12000000</v>
      </c>
      <c r="K17" s="10">
        <f t="shared" si="6"/>
        <v>27000000</v>
      </c>
      <c r="L17" s="10">
        <f t="shared" si="6"/>
        <v>27000000</v>
      </c>
      <c r="M17" s="10">
        <f t="shared" si="6"/>
        <v>32000000</v>
      </c>
      <c r="N17" s="10">
        <f t="shared" si="6"/>
        <v>0</v>
      </c>
      <c r="O17" s="4">
        <f>SUM(C17:N17)-80000000</f>
        <v>185000000</v>
      </c>
      <c r="P17" s="34">
        <f t="shared" si="1"/>
        <v>-57000000</v>
      </c>
      <c r="Q17" s="40">
        <f t="shared" si="2"/>
        <v>80000000</v>
      </c>
      <c r="R17" s="36"/>
      <c r="S17" s="2"/>
      <c r="T17" s="37"/>
      <c r="U17" s="20"/>
      <c r="V17" s="20"/>
      <c r="W17" s="20"/>
      <c r="X17" s="20"/>
      <c r="Y17" s="20"/>
      <c r="Z17" s="20"/>
    </row>
    <row r="18" spans="1:26" x14ac:dyDescent="0.25">
      <c r="A18" s="5" t="s">
        <v>131</v>
      </c>
      <c r="B18" s="4">
        <v>0</v>
      </c>
      <c r="C18" s="4"/>
      <c r="D18" s="4"/>
      <c r="E18" s="4"/>
      <c r="F18" s="4"/>
      <c r="G18" s="4"/>
      <c r="H18" s="4"/>
      <c r="I18" s="4"/>
      <c r="J18" s="97"/>
      <c r="K18" s="4"/>
      <c r="L18" s="4">
        <v>0</v>
      </c>
      <c r="M18" s="4"/>
      <c r="N18" s="4"/>
      <c r="O18" s="4">
        <f t="shared" si="5"/>
        <v>0</v>
      </c>
      <c r="P18" s="34">
        <f t="shared" si="1"/>
        <v>0</v>
      </c>
      <c r="Q18" s="40">
        <f t="shared" si="2"/>
        <v>0</v>
      </c>
      <c r="R18" s="36"/>
      <c r="S18" s="2"/>
      <c r="T18" s="37"/>
      <c r="U18" s="20"/>
      <c r="V18" s="20"/>
      <c r="W18" s="20"/>
      <c r="X18" s="20"/>
      <c r="Y18" s="20"/>
      <c r="Z18" s="20"/>
    </row>
    <row r="19" spans="1:26" x14ac:dyDescent="0.25">
      <c r="A19" s="5" t="s">
        <v>132</v>
      </c>
      <c r="B19" s="4">
        <v>8000000</v>
      </c>
      <c r="C19" s="4"/>
      <c r="D19" s="4"/>
      <c r="E19" s="4"/>
      <c r="F19" s="4">
        <v>8000000</v>
      </c>
      <c r="G19" s="4">
        <v>15000000</v>
      </c>
      <c r="H19" s="4"/>
      <c r="I19" s="4">
        <v>0</v>
      </c>
      <c r="J19" s="4">
        <v>0</v>
      </c>
      <c r="K19" s="4"/>
      <c r="L19" s="4">
        <v>0</v>
      </c>
      <c r="M19" s="4"/>
      <c r="N19" s="4"/>
      <c r="O19" s="4">
        <f>SUM(C19:N19)-15000000</f>
        <v>8000000</v>
      </c>
      <c r="P19" s="34">
        <f t="shared" si="1"/>
        <v>0</v>
      </c>
      <c r="Q19" s="40">
        <f t="shared" si="2"/>
        <v>15000000</v>
      </c>
      <c r="R19" s="36"/>
      <c r="S19" s="2"/>
      <c r="T19" s="37"/>
      <c r="U19" s="20"/>
      <c r="V19" s="20"/>
      <c r="W19" s="20"/>
      <c r="X19" s="20"/>
      <c r="Y19" s="20"/>
      <c r="Z19" s="20"/>
    </row>
    <row r="20" spans="1:26" x14ac:dyDescent="0.25">
      <c r="A20" s="5" t="s">
        <v>133</v>
      </c>
      <c r="B20" s="4">
        <v>5000000</v>
      </c>
      <c r="C20" s="4"/>
      <c r="D20" s="4"/>
      <c r="E20" s="4"/>
      <c r="F20" s="4"/>
      <c r="G20" s="4">
        <f>+'[7]Planeación 2024 P&amp;K'!$P$23</f>
        <v>25000000</v>
      </c>
      <c r="H20" s="4"/>
      <c r="I20" s="4"/>
      <c r="J20" s="4"/>
      <c r="K20" s="4"/>
      <c r="L20" s="4"/>
      <c r="M20" s="4">
        <v>5000000</v>
      </c>
      <c r="N20" s="4"/>
      <c r="O20" s="4">
        <f>SUM(C20:N20)-25000000</f>
        <v>5000000</v>
      </c>
      <c r="P20" s="34">
        <f t="shared" si="1"/>
        <v>0</v>
      </c>
      <c r="Q20" s="40">
        <f t="shared" si="2"/>
        <v>25000000</v>
      </c>
      <c r="R20" s="36"/>
      <c r="S20" s="2"/>
      <c r="T20" s="37"/>
      <c r="U20" s="20"/>
      <c r="V20" s="20"/>
      <c r="W20" s="20"/>
      <c r="X20" s="20"/>
      <c r="Y20" s="20"/>
      <c r="Z20" s="20"/>
    </row>
    <row r="21" spans="1:26" x14ac:dyDescent="0.25">
      <c r="A21" s="5" t="s">
        <v>134</v>
      </c>
      <c r="B21" s="4">
        <v>30000000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0</v>
      </c>
      <c r="N21" s="4"/>
      <c r="O21" s="4">
        <f t="shared" si="5"/>
        <v>0</v>
      </c>
      <c r="P21" s="34">
        <f t="shared" si="1"/>
        <v>-30000000</v>
      </c>
      <c r="Q21" s="40">
        <f t="shared" si="2"/>
        <v>0</v>
      </c>
      <c r="R21" s="36"/>
      <c r="S21" s="2"/>
      <c r="T21" s="37"/>
      <c r="U21" s="20"/>
      <c r="V21" s="20"/>
      <c r="W21" s="20"/>
      <c r="X21" s="20"/>
      <c r="Y21" s="20"/>
      <c r="Z21" s="20"/>
    </row>
    <row r="22" spans="1:26" x14ac:dyDescent="0.25">
      <c r="A22" s="5" t="s">
        <v>135</v>
      </c>
      <c r="B22" s="4">
        <f>1600000+5400000</f>
        <v>7000000</v>
      </c>
      <c r="C22" s="4"/>
      <c r="D22" s="4"/>
      <c r="E22" s="4"/>
      <c r="F22" s="4"/>
      <c r="G22" s="4">
        <f>+'[7]Planeación 2024 P&amp;K'!$P$21</f>
        <v>7000000</v>
      </c>
      <c r="H22" s="4"/>
      <c r="I22" s="4"/>
      <c r="J22" s="4"/>
      <c r="K22" s="4"/>
      <c r="L22" s="4"/>
      <c r="M22" s="4"/>
      <c r="N22" s="4"/>
      <c r="O22" s="4">
        <f t="shared" si="5"/>
        <v>7000000</v>
      </c>
      <c r="P22" s="34">
        <f t="shared" si="1"/>
        <v>0</v>
      </c>
      <c r="Q22" s="40">
        <f t="shared" si="2"/>
        <v>0</v>
      </c>
      <c r="R22" s="36"/>
      <c r="S22" s="2"/>
      <c r="T22" s="37"/>
      <c r="U22" s="20"/>
      <c r="V22" s="20"/>
      <c r="W22" s="20"/>
      <c r="X22" s="20"/>
      <c r="Y22" s="20"/>
      <c r="Z22" s="20"/>
    </row>
    <row r="23" spans="1:26" x14ac:dyDescent="0.25">
      <c r="A23" s="5" t="s">
        <v>136</v>
      </c>
      <c r="B23" s="4">
        <v>120000000</v>
      </c>
      <c r="C23" s="4"/>
      <c r="D23" s="4"/>
      <c r="E23" s="4">
        <f>+B23/10</f>
        <v>12000000</v>
      </c>
      <c r="F23" s="4">
        <v>0</v>
      </c>
      <c r="G23" s="4">
        <f>+'[7]Planeación 2024 P&amp;K'!$P$22</f>
        <v>24000000</v>
      </c>
      <c r="H23" s="4">
        <v>24000000</v>
      </c>
      <c r="I23" s="4">
        <f>+'[9]Planeación 2024 P&amp;K'!$S$22</f>
        <v>12000000</v>
      </c>
      <c r="J23" s="97">
        <f>+'[10]Planeación 2024 P&amp;K'!$U$21</f>
        <v>12000000</v>
      </c>
      <c r="K23" s="4">
        <f>+J23</f>
        <v>12000000</v>
      </c>
      <c r="L23" s="4">
        <f>+'[10]Planeación 2024 P&amp;K'!$V$21</f>
        <v>12000000</v>
      </c>
      <c r="M23" s="4">
        <f>+L23</f>
        <v>12000000</v>
      </c>
      <c r="N23" s="4">
        <v>0</v>
      </c>
      <c r="O23" s="4">
        <f>SUM(C23:N23)-12000000</f>
        <v>108000000</v>
      </c>
      <c r="P23" s="34">
        <f t="shared" si="1"/>
        <v>-12000000</v>
      </c>
      <c r="Q23" s="40">
        <f t="shared" si="2"/>
        <v>12000000</v>
      </c>
      <c r="R23" s="36"/>
      <c r="S23" s="2"/>
      <c r="T23" s="37"/>
      <c r="U23" s="20"/>
      <c r="V23" s="20"/>
      <c r="W23" s="20"/>
      <c r="X23" s="20"/>
      <c r="Y23" s="20"/>
      <c r="Z23" s="20"/>
    </row>
    <row r="24" spans="1:26" x14ac:dyDescent="0.25">
      <c r="A24" s="5" t="s">
        <v>138</v>
      </c>
      <c r="B24" s="4">
        <v>12000000</v>
      </c>
      <c r="C24" s="4"/>
      <c r="D24" s="4">
        <v>12000000</v>
      </c>
      <c r="E24" s="4"/>
      <c r="F24" s="4"/>
      <c r="G24" s="4"/>
      <c r="H24" s="4"/>
      <c r="I24" s="4">
        <f>+'[9]Planeación 2024 P&amp;K'!$R$24</f>
        <v>12000000</v>
      </c>
      <c r="J24" s="4"/>
      <c r="K24" s="4"/>
      <c r="L24" s="4"/>
      <c r="M24" s="4"/>
      <c r="N24" s="4"/>
      <c r="O24" s="4">
        <f>SUM(C24:N24)-12000000</f>
        <v>12000000</v>
      </c>
      <c r="P24" s="34">
        <f t="shared" si="1"/>
        <v>0</v>
      </c>
      <c r="Q24" s="40">
        <f t="shared" si="2"/>
        <v>12000000</v>
      </c>
      <c r="R24" s="36"/>
      <c r="S24" s="2"/>
      <c r="T24" s="37"/>
      <c r="U24" s="20"/>
      <c r="V24" s="20"/>
      <c r="W24" s="20"/>
      <c r="X24" s="20"/>
      <c r="Y24" s="20"/>
      <c r="Z24" s="20"/>
    </row>
    <row r="25" spans="1:26" x14ac:dyDescent="0.25">
      <c r="A25" s="5" t="s">
        <v>197</v>
      </c>
      <c r="B25" s="4">
        <f>84000000-24000000</f>
        <v>60000000</v>
      </c>
      <c r="C25" s="4">
        <v>8000000</v>
      </c>
      <c r="D25" s="4">
        <f>+C25</f>
        <v>8000000</v>
      </c>
      <c r="E25" s="4">
        <f>14000000-14000000</f>
        <v>0</v>
      </c>
      <c r="F25" s="4">
        <v>0</v>
      </c>
      <c r="G25" s="4">
        <f>+F25</f>
        <v>0</v>
      </c>
      <c r="H25" s="4">
        <v>0</v>
      </c>
      <c r="I25" s="4">
        <f t="shared" ref="I25:M25" si="7">+H25</f>
        <v>0</v>
      </c>
      <c r="J25" s="4">
        <f t="shared" si="7"/>
        <v>0</v>
      </c>
      <c r="K25" s="4">
        <f>+'[10]Planeación 2024 P&amp;K'!$U$28</f>
        <v>15000000</v>
      </c>
      <c r="L25" s="4">
        <f>+'[10]Planeación 2024 P&amp;K'!$V$28</f>
        <v>15000000</v>
      </c>
      <c r="M25" s="4">
        <f t="shared" si="7"/>
        <v>15000000</v>
      </c>
      <c r="N25" s="4">
        <v>0</v>
      </c>
      <c r="O25" s="4">
        <f>SUM(C25:N25)-16000000</f>
        <v>45000000</v>
      </c>
      <c r="P25" s="34">
        <f t="shared" si="1"/>
        <v>-15000000</v>
      </c>
      <c r="Q25" s="40">
        <f t="shared" si="2"/>
        <v>16000000</v>
      </c>
      <c r="R25" s="36"/>
      <c r="S25" s="2"/>
      <c r="T25" s="37"/>
      <c r="U25" s="20"/>
      <c r="V25" s="20"/>
      <c r="W25" s="20"/>
      <c r="X25" s="20"/>
      <c r="Y25" s="20"/>
      <c r="Z25" s="20"/>
    </row>
    <row r="26" spans="1:26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5"/>
        <v>0</v>
      </c>
      <c r="P26" s="34">
        <f t="shared" si="1"/>
        <v>0</v>
      </c>
      <c r="Q26" s="40">
        <f t="shared" si="2"/>
        <v>0</v>
      </c>
      <c r="R26" s="36"/>
      <c r="S26" s="2"/>
      <c r="T26" s="37"/>
      <c r="U26" s="20"/>
      <c r="V26" s="20"/>
      <c r="W26" s="20"/>
      <c r="X26" s="20"/>
      <c r="Y26" s="20"/>
      <c r="Z26" s="20"/>
    </row>
    <row r="27" spans="1:26" x14ac:dyDescent="0.25">
      <c r="A27" s="57" t="s">
        <v>8</v>
      </c>
      <c r="B27" s="10">
        <f>SUM(B28:B31)</f>
        <v>1269640000</v>
      </c>
      <c r="C27" s="10">
        <f t="shared" ref="C27:N27" si="8">SUM(C28:C31)</f>
        <v>3386666.666666667</v>
      </c>
      <c r="D27" s="10">
        <f t="shared" si="8"/>
        <v>33386666.666666668</v>
      </c>
      <c r="E27" s="10">
        <f t="shared" si="8"/>
        <v>33386666.666666668</v>
      </c>
      <c r="F27" s="10">
        <f t="shared" si="8"/>
        <v>30000000</v>
      </c>
      <c r="G27" s="10">
        <f t="shared" si="8"/>
        <v>80000000</v>
      </c>
      <c r="H27" s="10">
        <f t="shared" si="8"/>
        <v>40000000</v>
      </c>
      <c r="I27" s="10">
        <f>SUM(I28:I31)</f>
        <v>150000000</v>
      </c>
      <c r="J27" s="10">
        <f t="shared" si="8"/>
        <v>140839000</v>
      </c>
      <c r="K27" s="10">
        <f>SUM(K28:K31)</f>
        <v>210000000</v>
      </c>
      <c r="L27" s="10">
        <f t="shared" si="8"/>
        <v>190000000</v>
      </c>
      <c r="M27" s="10">
        <f t="shared" si="8"/>
        <v>190000000</v>
      </c>
      <c r="N27" s="10">
        <f t="shared" si="8"/>
        <v>0</v>
      </c>
      <c r="O27" s="4">
        <f>SUM(C27:N27)+358641000</f>
        <v>1459640000</v>
      </c>
      <c r="P27" s="34">
        <f t="shared" si="1"/>
        <v>190000000</v>
      </c>
      <c r="Q27" s="40">
        <f t="shared" si="2"/>
        <v>-358641000</v>
      </c>
      <c r="R27" s="2"/>
      <c r="T27" s="37"/>
      <c r="U27" s="20"/>
      <c r="V27" s="20"/>
      <c r="W27" s="20"/>
      <c r="X27" s="20"/>
      <c r="Y27" s="20"/>
      <c r="Z27" s="20"/>
    </row>
    <row r="28" spans="1:26" x14ac:dyDescent="0.25">
      <c r="A28" s="5" t="s">
        <v>139</v>
      </c>
      <c r="B28" s="46">
        <f>24000000-4000000</f>
        <v>20000000</v>
      </c>
      <c r="C28" s="4">
        <f>+B28/12</f>
        <v>1666666.6666666667</v>
      </c>
      <c r="D28" s="4">
        <f>+C28</f>
        <v>1666666.6666666667</v>
      </c>
      <c r="E28" s="4">
        <f t="shared" ref="E28:N28" si="9">+D28</f>
        <v>1666666.6666666667</v>
      </c>
      <c r="F28" s="4">
        <v>0</v>
      </c>
      <c r="G28" s="4">
        <f>+'[7]Planeación 2024 P&amp;K'!$P$25</f>
        <v>4000000</v>
      </c>
      <c r="H28" s="4">
        <v>0</v>
      </c>
      <c r="I28" s="4">
        <f t="shared" si="9"/>
        <v>0</v>
      </c>
      <c r="J28" s="4">
        <f t="shared" si="9"/>
        <v>0</v>
      </c>
      <c r="K28" s="4">
        <f t="shared" si="9"/>
        <v>0</v>
      </c>
      <c r="L28" s="4">
        <f t="shared" si="9"/>
        <v>0</v>
      </c>
      <c r="M28" s="4">
        <f t="shared" si="9"/>
        <v>0</v>
      </c>
      <c r="N28" s="4">
        <f t="shared" si="9"/>
        <v>0</v>
      </c>
      <c r="O28" s="4">
        <f>SUM(C28:N28)+11000000</f>
        <v>20000000</v>
      </c>
      <c r="P28" s="34">
        <f t="shared" si="1"/>
        <v>0</v>
      </c>
      <c r="Q28" s="40">
        <f t="shared" si="2"/>
        <v>-11000000</v>
      </c>
      <c r="R28" s="2"/>
      <c r="T28" s="37"/>
      <c r="U28" s="20"/>
      <c r="V28" s="20"/>
      <c r="W28" s="20"/>
      <c r="X28" s="20"/>
      <c r="Y28" s="20"/>
      <c r="Z28" s="20"/>
    </row>
    <row r="29" spans="1:26" x14ac:dyDescent="0.25">
      <c r="A29" s="5" t="s">
        <v>140</v>
      </c>
      <c r="B29" s="46">
        <f>26640000-6000000</f>
        <v>20640000</v>
      </c>
      <c r="C29" s="4">
        <f>+B29/12</f>
        <v>1720000</v>
      </c>
      <c r="D29" s="4">
        <f>+C29</f>
        <v>1720000</v>
      </c>
      <c r="E29" s="4">
        <f t="shared" ref="E29:N29" si="10">+D29</f>
        <v>1720000</v>
      </c>
      <c r="F29" s="4">
        <v>30000000</v>
      </c>
      <c r="G29" s="4">
        <f>+'[7]Planeación 2024 P&amp;K'!$P$26</f>
        <v>6000000</v>
      </c>
      <c r="H29" s="4">
        <v>0</v>
      </c>
      <c r="I29" s="4">
        <f t="shared" si="10"/>
        <v>0</v>
      </c>
      <c r="J29" s="4">
        <f t="shared" si="10"/>
        <v>0</v>
      </c>
      <c r="K29" s="4">
        <f t="shared" si="10"/>
        <v>0</v>
      </c>
      <c r="L29" s="4">
        <f t="shared" si="10"/>
        <v>0</v>
      </c>
      <c r="M29" s="4">
        <f t="shared" si="10"/>
        <v>0</v>
      </c>
      <c r="N29" s="4">
        <f t="shared" si="10"/>
        <v>0</v>
      </c>
      <c r="O29" s="4">
        <f>SUM(C29:N29)-20520000</f>
        <v>20640000</v>
      </c>
      <c r="P29" s="34">
        <f t="shared" si="1"/>
        <v>0</v>
      </c>
      <c r="Q29" s="40">
        <f t="shared" si="2"/>
        <v>20520000</v>
      </c>
      <c r="R29" s="2"/>
      <c r="T29" s="37"/>
      <c r="U29" s="20"/>
      <c r="V29" s="20"/>
      <c r="W29" s="20"/>
      <c r="X29" s="20"/>
      <c r="Y29" s="20"/>
      <c r="Z29" s="20"/>
    </row>
    <row r="30" spans="1:26" x14ac:dyDescent="0.25">
      <c r="A30" s="5" t="s">
        <v>143</v>
      </c>
      <c r="B30" s="4">
        <v>60000000</v>
      </c>
      <c r="C30" s="4"/>
      <c r="D30" s="4">
        <v>30000000</v>
      </c>
      <c r="E30" s="4">
        <v>30000000</v>
      </c>
      <c r="F30" s="4"/>
      <c r="G30" s="4">
        <f>+'[7]Planeación 2024 P&amp;K'!$P$30</f>
        <v>30000000</v>
      </c>
      <c r="H30" s="4"/>
      <c r="I30" s="4"/>
      <c r="J30" s="4"/>
      <c r="K30" s="4"/>
      <c r="L30" s="4"/>
      <c r="M30" s="4"/>
      <c r="N30" s="4"/>
      <c r="O30" s="4">
        <f>SUM(C30:N30)-30000000</f>
        <v>60000000</v>
      </c>
      <c r="P30" s="34">
        <f t="shared" si="1"/>
        <v>0</v>
      </c>
      <c r="Q30" s="40">
        <f t="shared" si="2"/>
        <v>30000000</v>
      </c>
      <c r="R30" s="2"/>
      <c r="T30" s="37"/>
      <c r="U30" s="20"/>
      <c r="V30" s="20"/>
      <c r="W30" s="20"/>
      <c r="X30" s="20"/>
      <c r="Y30" s="20"/>
      <c r="Z30" s="20"/>
    </row>
    <row r="31" spans="1:26" x14ac:dyDescent="0.25">
      <c r="A31" s="5" t="s">
        <v>131</v>
      </c>
      <c r="B31" s="4">
        <f>1200000000-36000000+5000000</f>
        <v>1169000000</v>
      </c>
      <c r="C31" s="4"/>
      <c r="D31" s="4"/>
      <c r="E31" s="4"/>
      <c r="F31" s="4"/>
      <c r="G31" s="4">
        <v>40000000</v>
      </c>
      <c r="H31" s="4">
        <v>40000000</v>
      </c>
      <c r="I31" s="4">
        <v>150000000</v>
      </c>
      <c r="J31" s="4">
        <v>140839000</v>
      </c>
      <c r="K31" s="4">
        <f>+'[10]Planeación 2024 P&amp;K'!$U$13</f>
        <v>210000000</v>
      </c>
      <c r="L31" s="4">
        <f>+'[10]Planeación 2024 P&amp;K'!$W$13</f>
        <v>190000000</v>
      </c>
      <c r="M31" s="4">
        <v>190000000</v>
      </c>
      <c r="N31" s="4"/>
      <c r="O31" s="4">
        <f>SUM(C31:N31)+398161000</f>
        <v>1359000000</v>
      </c>
      <c r="P31" s="34">
        <f t="shared" si="1"/>
        <v>190000000</v>
      </c>
      <c r="Q31" s="40">
        <f t="shared" si="2"/>
        <v>-398161000</v>
      </c>
      <c r="R31" s="2"/>
      <c r="T31" s="37"/>
      <c r="U31" s="20"/>
      <c r="V31" s="20"/>
      <c r="W31" s="20"/>
      <c r="X31" s="20"/>
      <c r="Y31" s="20"/>
      <c r="Z31" s="20"/>
    </row>
    <row r="32" spans="1:26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5"/>
        <v>0</v>
      </c>
      <c r="P32" s="34">
        <f t="shared" si="1"/>
        <v>0</v>
      </c>
      <c r="Q32" s="40">
        <f t="shared" si="2"/>
        <v>0</v>
      </c>
      <c r="R32" s="2"/>
      <c r="T32" s="37"/>
      <c r="U32" s="20"/>
      <c r="V32" s="20"/>
      <c r="W32" s="20"/>
      <c r="X32" s="20"/>
      <c r="Y32" s="20"/>
      <c r="Z32" s="20"/>
    </row>
    <row r="33" spans="1:26" x14ac:dyDescent="0.25">
      <c r="A33" s="5" t="s">
        <v>200</v>
      </c>
      <c r="B33" s="10">
        <f>+B34</f>
        <v>130000000</v>
      </c>
      <c r="C33" s="10"/>
      <c r="D33" s="10"/>
      <c r="E33" s="10"/>
      <c r="F33" s="10"/>
      <c r="G33" s="10"/>
      <c r="H33" s="10">
        <f>+H34</f>
        <v>49350000</v>
      </c>
      <c r="I33" s="10">
        <f>+I34</f>
        <v>91650000</v>
      </c>
      <c r="J33" s="10"/>
      <c r="K33" s="10"/>
      <c r="L33" s="10"/>
      <c r="M33" s="10"/>
      <c r="N33" s="10"/>
      <c r="O33" s="4">
        <f>SUM(C33:N33)-11000000</f>
        <v>130000000</v>
      </c>
      <c r="P33" s="34">
        <f t="shared" si="1"/>
        <v>0</v>
      </c>
      <c r="Q33" s="40">
        <f t="shared" si="2"/>
        <v>11000000</v>
      </c>
      <c r="R33" s="36"/>
      <c r="S33" s="2"/>
      <c r="T33" s="37"/>
      <c r="U33" s="20"/>
      <c r="V33" s="20"/>
      <c r="W33" s="20"/>
      <c r="X33" s="20"/>
      <c r="Y33" s="20"/>
      <c r="Z33" s="20"/>
    </row>
    <row r="34" spans="1:26" x14ac:dyDescent="0.25">
      <c r="A34" s="5" t="s">
        <v>199</v>
      </c>
      <c r="B34" s="4">
        <f>141000000-11000000</f>
        <v>130000000</v>
      </c>
      <c r="C34" s="4"/>
      <c r="D34" s="4"/>
      <c r="E34" s="4"/>
      <c r="F34" s="4"/>
      <c r="G34" s="4"/>
      <c r="H34" s="52">
        <v>49350000</v>
      </c>
      <c r="I34" s="52">
        <f>+'[9]Planeación 2024 P&amp;K'!$R$189</f>
        <v>91650000</v>
      </c>
      <c r="J34" s="4"/>
      <c r="K34" s="4"/>
      <c r="L34" s="4"/>
      <c r="M34" s="4"/>
      <c r="N34" s="4"/>
      <c r="O34" s="4">
        <f>SUM(C34:N34)-11000000</f>
        <v>130000000</v>
      </c>
      <c r="P34" s="34"/>
      <c r="Q34" s="40"/>
      <c r="R34" s="36"/>
      <c r="S34" s="2"/>
      <c r="T34" s="37"/>
      <c r="U34" s="20"/>
      <c r="V34" s="20"/>
      <c r="W34" s="20"/>
      <c r="X34" s="20"/>
      <c r="Y34" s="20"/>
      <c r="Z34" s="20"/>
    </row>
    <row r="35" spans="1:26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5"/>
        <v>0</v>
      </c>
      <c r="P35" s="34">
        <f t="shared" si="1"/>
        <v>0</v>
      </c>
      <c r="Q35" s="40">
        <f t="shared" si="2"/>
        <v>0</v>
      </c>
      <c r="R35" s="36"/>
      <c r="S35" s="2"/>
      <c r="T35" s="37"/>
      <c r="U35" s="20"/>
      <c r="V35" s="20"/>
      <c r="W35" s="20"/>
      <c r="X35" s="20"/>
      <c r="Y35" s="20"/>
      <c r="Z35" s="20"/>
    </row>
    <row r="36" spans="1:26" x14ac:dyDescent="0.25">
      <c r="A36" s="5" t="s">
        <v>11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>
        <f t="shared" si="5"/>
        <v>0</v>
      </c>
      <c r="P36" s="34">
        <f t="shared" si="1"/>
        <v>0</v>
      </c>
      <c r="Q36" s="40">
        <f t="shared" si="2"/>
        <v>0</v>
      </c>
      <c r="R36" s="36"/>
      <c r="S36" s="2"/>
      <c r="T36" s="37"/>
      <c r="U36" s="20"/>
      <c r="V36" s="20"/>
      <c r="W36" s="20"/>
      <c r="X36" s="20"/>
      <c r="Y36" s="20"/>
      <c r="Z36" s="20"/>
    </row>
    <row r="37" spans="1:26" x14ac:dyDescent="0.25">
      <c r="A37" s="57" t="s">
        <v>12</v>
      </c>
      <c r="B37" s="10">
        <f>SUM(B38:B42)</f>
        <v>636180000</v>
      </c>
      <c r="C37" s="10">
        <f>SUM(C38:C42)</f>
        <v>46765000</v>
      </c>
      <c r="D37" s="10">
        <f>SUM(D38:D42)</f>
        <v>46765000</v>
      </c>
      <c r="E37" s="10">
        <f>SUM(E38:E42)</f>
        <v>56765000</v>
      </c>
      <c r="F37" s="10">
        <f>SUM(F38:F42)</f>
        <v>28265000</v>
      </c>
      <c r="G37" s="10">
        <f>SUM(G38:G43)</f>
        <v>18015000</v>
      </c>
      <c r="H37" s="10">
        <f t="shared" ref="H37:N37" si="11">SUM(H38:H42)</f>
        <v>28015000</v>
      </c>
      <c r="I37" s="10">
        <f t="shared" si="11"/>
        <v>79015000</v>
      </c>
      <c r="J37" s="10">
        <f t="shared" si="11"/>
        <v>79015000</v>
      </c>
      <c r="K37" s="10">
        <f t="shared" si="11"/>
        <v>89015000</v>
      </c>
      <c r="L37" s="10">
        <f t="shared" si="11"/>
        <v>79015000</v>
      </c>
      <c r="M37" s="10">
        <f t="shared" si="11"/>
        <v>79015000</v>
      </c>
      <c r="N37" s="10">
        <f t="shared" si="11"/>
        <v>79015000</v>
      </c>
      <c r="O37" s="4">
        <f>SUM(C37:N37)-72500000</f>
        <v>636180000</v>
      </c>
      <c r="P37" s="34">
        <f t="shared" si="1"/>
        <v>0</v>
      </c>
      <c r="Q37" s="40">
        <f t="shared" si="2"/>
        <v>72500000</v>
      </c>
      <c r="R37" s="36"/>
      <c r="S37" s="2"/>
      <c r="T37" s="37"/>
      <c r="U37" s="20"/>
      <c r="V37" s="20"/>
      <c r="W37" s="20"/>
      <c r="X37" s="20"/>
      <c r="Y37" s="20"/>
      <c r="Z37" s="20"/>
    </row>
    <row r="38" spans="1:26" x14ac:dyDescent="0.25">
      <c r="A38" s="5" t="s">
        <v>137</v>
      </c>
      <c r="B38" s="46">
        <f>25000000-10000000</f>
        <v>15000000</v>
      </c>
      <c r="C38" s="4"/>
      <c r="D38" s="4"/>
      <c r="E38" s="4"/>
      <c r="F38" s="4"/>
      <c r="G38" s="4"/>
      <c r="H38" s="4"/>
      <c r="I38" s="4"/>
      <c r="J38" s="4"/>
      <c r="K38" s="4"/>
      <c r="L38" s="4">
        <v>0</v>
      </c>
      <c r="M38" s="4"/>
      <c r="N38" s="4"/>
      <c r="O38" s="4">
        <f>SUM(C38:N38)+15000000</f>
        <v>15000000</v>
      </c>
      <c r="P38" s="34">
        <f t="shared" si="1"/>
        <v>0</v>
      </c>
      <c r="Q38" s="40">
        <f t="shared" si="2"/>
        <v>-15000000</v>
      </c>
      <c r="R38" s="36"/>
      <c r="S38" s="2"/>
      <c r="T38" s="37"/>
      <c r="U38" s="20"/>
      <c r="V38" s="20"/>
      <c r="W38" s="20"/>
      <c r="X38" s="20"/>
      <c r="Y38" s="20"/>
      <c r="Z38" s="20"/>
    </row>
    <row r="39" spans="1:26" x14ac:dyDescent="0.25">
      <c r="A39" s="5" t="s">
        <v>141</v>
      </c>
      <c r="B39" s="4">
        <f>24000000+30000000</f>
        <v>54000000</v>
      </c>
      <c r="C39" s="4"/>
      <c r="D39" s="4"/>
      <c r="E39" s="4"/>
      <c r="F39" s="4">
        <v>14000000</v>
      </c>
      <c r="G39" s="4"/>
      <c r="H39" s="4">
        <v>10000000</v>
      </c>
      <c r="I39" s="4"/>
      <c r="J39" s="4"/>
      <c r="K39" s="4">
        <f>+'[10]Planeación 2024 P&amp;K'!$U$26</f>
        <v>10000000</v>
      </c>
      <c r="L39" s="4">
        <v>0</v>
      </c>
      <c r="M39" s="4"/>
      <c r="N39" s="4"/>
      <c r="O39" s="4">
        <f>SUM(C39:N39)+20000000</f>
        <v>54000000</v>
      </c>
      <c r="P39" s="34">
        <f t="shared" si="1"/>
        <v>0</v>
      </c>
      <c r="Q39" s="40">
        <f t="shared" si="2"/>
        <v>-20000000</v>
      </c>
      <c r="R39" s="36"/>
      <c r="S39" s="2"/>
      <c r="T39" s="37"/>
      <c r="U39" s="20"/>
      <c r="V39" s="20"/>
      <c r="W39" s="20"/>
      <c r="X39" s="20"/>
      <c r="Y39" s="20"/>
      <c r="Z39" s="20"/>
    </row>
    <row r="40" spans="1:26" x14ac:dyDescent="0.25">
      <c r="A40" s="5" t="s">
        <v>142</v>
      </c>
      <c r="B40" s="4">
        <v>366000000</v>
      </c>
      <c r="C40" s="4">
        <v>30000000</v>
      </c>
      <c r="D40" s="4">
        <f>+C40</f>
        <v>30000000</v>
      </c>
      <c r="E40" s="4">
        <v>40000000</v>
      </c>
      <c r="F40" s="4">
        <v>0</v>
      </c>
      <c r="G40" s="4">
        <f>+F40</f>
        <v>0</v>
      </c>
      <c r="H40" s="4"/>
      <c r="I40" s="4">
        <f>+'[9]Planeación 2024 P&amp;K'!$R$28</f>
        <v>61000000</v>
      </c>
      <c r="J40" s="97">
        <f>+'[10]Planeación 2024 P&amp;K'!$T$27</f>
        <v>61000000</v>
      </c>
      <c r="K40" s="4">
        <f>+J40</f>
        <v>61000000</v>
      </c>
      <c r="L40" s="4">
        <f>+'[10]Planeación 2024 P&amp;K'!$V$27</f>
        <v>61000000</v>
      </c>
      <c r="M40" s="4">
        <f>+L40</f>
        <v>61000000</v>
      </c>
      <c r="N40" s="4">
        <f>+M40</f>
        <v>61000000</v>
      </c>
      <c r="O40" s="4">
        <f>SUM(C40:N40)-100000000</f>
        <v>366000000</v>
      </c>
      <c r="P40" s="34">
        <f t="shared" si="1"/>
        <v>0</v>
      </c>
      <c r="Q40" s="40">
        <f t="shared" si="2"/>
        <v>100000000</v>
      </c>
      <c r="R40" s="36"/>
      <c r="S40" s="2"/>
      <c r="T40" s="37"/>
      <c r="U40" s="20"/>
      <c r="V40" s="20"/>
      <c r="W40" s="20"/>
      <c r="X40" s="20"/>
      <c r="Y40" s="20"/>
      <c r="Z40" s="20"/>
    </row>
    <row r="41" spans="1:26" x14ac:dyDescent="0.25">
      <c r="A41" s="5" t="s">
        <v>144</v>
      </c>
      <c r="B41" s="4">
        <v>30000000</v>
      </c>
      <c r="C41" s="4">
        <f>+B41/12</f>
        <v>2500000</v>
      </c>
      <c r="D41" s="4">
        <f>+C41</f>
        <v>2500000</v>
      </c>
      <c r="E41" s="4">
        <f t="shared" ref="E41:N41" si="12">+D41</f>
        <v>2500000</v>
      </c>
      <c r="F41" s="4">
        <v>0</v>
      </c>
      <c r="G41" s="4">
        <f>+'[7]Planeación 2024 P&amp;K'!$P$31</f>
        <v>3750000</v>
      </c>
      <c r="H41" s="4">
        <v>3750000</v>
      </c>
      <c r="I41" s="4">
        <f t="shared" si="12"/>
        <v>3750000</v>
      </c>
      <c r="J41" s="97">
        <f>+'[10]Planeación 2024 P&amp;K'!$T$30</f>
        <v>3750000</v>
      </c>
      <c r="K41" s="4">
        <f t="shared" si="12"/>
        <v>3750000</v>
      </c>
      <c r="L41" s="4">
        <f>+'[10]Planeación 2024 P&amp;K'!$V$30</f>
        <v>3750000</v>
      </c>
      <c r="M41" s="4">
        <f t="shared" si="12"/>
        <v>3750000</v>
      </c>
      <c r="N41" s="4">
        <f t="shared" si="12"/>
        <v>3750000</v>
      </c>
      <c r="O41" s="4">
        <f>SUM(C41:N41)-7500000</f>
        <v>30000000</v>
      </c>
      <c r="P41" s="34">
        <f t="shared" si="1"/>
        <v>0</v>
      </c>
      <c r="Q41" s="40">
        <f t="shared" si="2"/>
        <v>7500000</v>
      </c>
      <c r="R41" s="36"/>
      <c r="S41" s="2"/>
      <c r="T41" s="37"/>
      <c r="U41" s="20"/>
      <c r="V41" s="20"/>
      <c r="W41" s="20"/>
      <c r="X41" s="20"/>
      <c r="Y41" s="20"/>
      <c r="Z41" s="20"/>
    </row>
    <row r="42" spans="1:26" x14ac:dyDescent="0.25">
      <c r="A42" s="5" t="s">
        <v>195</v>
      </c>
      <c r="B42" s="4">
        <v>171180000</v>
      </c>
      <c r="C42" s="4">
        <f>+B42/12</f>
        <v>14265000</v>
      </c>
      <c r="D42" s="4">
        <f>+C42</f>
        <v>14265000</v>
      </c>
      <c r="E42" s="4">
        <f t="shared" ref="E42:N42" si="13">+D42</f>
        <v>14265000</v>
      </c>
      <c r="F42" s="4">
        <f t="shared" si="13"/>
        <v>14265000</v>
      </c>
      <c r="G42" s="4">
        <f t="shared" si="13"/>
        <v>14265000</v>
      </c>
      <c r="H42" s="4">
        <v>14265000</v>
      </c>
      <c r="I42" s="4">
        <f t="shared" si="13"/>
        <v>14265000</v>
      </c>
      <c r="J42" s="97">
        <f>+'[10]Planeación 2024 P&amp;K'!$T$31+'[10]Planeación 2024 P&amp;K'!$T$32+'[10]Planeación 2024 P&amp;K'!$T$33</f>
        <v>14265000</v>
      </c>
      <c r="K42" s="4">
        <f t="shared" si="13"/>
        <v>14265000</v>
      </c>
      <c r="L42" s="4">
        <f>+'[10]Planeación 2024 P&amp;K'!$V$31+'[10]Planeación 2024 P&amp;K'!$V$32+'[10]Planeación 2024 P&amp;K'!$V$33</f>
        <v>14265000</v>
      </c>
      <c r="M42" s="4">
        <f t="shared" si="13"/>
        <v>14265000</v>
      </c>
      <c r="N42" s="4">
        <f t="shared" si="13"/>
        <v>14265000</v>
      </c>
      <c r="O42" s="4">
        <f>SUM(C42:N42)</f>
        <v>171180000</v>
      </c>
      <c r="P42" s="34">
        <f t="shared" si="1"/>
        <v>0</v>
      </c>
      <c r="Q42" s="40">
        <f t="shared" si="2"/>
        <v>0</v>
      </c>
      <c r="R42" s="36"/>
      <c r="S42" s="2"/>
      <c r="T42" s="37"/>
      <c r="U42" s="20"/>
      <c r="V42" s="20"/>
      <c r="W42" s="20"/>
      <c r="X42" s="20"/>
      <c r="Y42" s="20"/>
      <c r="Z42" s="20"/>
    </row>
    <row r="43" spans="1:26" x14ac:dyDescent="0.25">
      <c r="A43" s="5" t="s">
        <v>190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>SUM(C43:N43)</f>
        <v>0</v>
      </c>
      <c r="P43" s="34">
        <f t="shared" si="1"/>
        <v>0</v>
      </c>
      <c r="Q43" s="40">
        <f t="shared" si="2"/>
        <v>0</v>
      </c>
      <c r="R43" s="36"/>
      <c r="S43" s="2"/>
      <c r="T43" s="37"/>
      <c r="U43" s="20"/>
      <c r="V43" s="20"/>
      <c r="W43" s="20"/>
      <c r="X43" s="20"/>
      <c r="Y43" s="20"/>
      <c r="Z43" s="20"/>
    </row>
    <row r="44" spans="1:26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34"/>
      <c r="Q44" s="40">
        <f t="shared" si="2"/>
        <v>0</v>
      </c>
      <c r="R44" s="36"/>
      <c r="S44" s="2"/>
      <c r="T44" s="37"/>
      <c r="U44" s="20"/>
      <c r="V44" s="20"/>
      <c r="W44" s="20"/>
      <c r="X44" s="20"/>
      <c r="Y44" s="20"/>
      <c r="Z44" s="20"/>
    </row>
    <row r="45" spans="1:26" x14ac:dyDescent="0.25">
      <c r="A45" s="12" t="s">
        <v>13</v>
      </c>
      <c r="B45" s="8">
        <f>+B37+B27+B17+B16+B15</f>
        <v>3123218331.3454332</v>
      </c>
      <c r="C45" s="8">
        <f t="shared" ref="C45:N45" si="14">+C37+C27+C17+C16+C15</f>
        <v>139434860.66666666</v>
      </c>
      <c r="D45" s="8">
        <f t="shared" si="14"/>
        <v>181434860.66666669</v>
      </c>
      <c r="E45" s="8">
        <f t="shared" si="14"/>
        <v>183434860.66666669</v>
      </c>
      <c r="F45" s="8">
        <f t="shared" si="14"/>
        <v>147548194</v>
      </c>
      <c r="G45" s="8">
        <f t="shared" si="14"/>
        <v>250298194</v>
      </c>
      <c r="H45" s="8">
        <f>+H37+H27+H17+H16+H15+H34</f>
        <v>222648194</v>
      </c>
      <c r="I45" s="8">
        <f>+I37+I27+I17+I16+I15+I33</f>
        <v>425948194</v>
      </c>
      <c r="J45" s="8">
        <f t="shared" si="14"/>
        <v>313137194</v>
      </c>
      <c r="K45" s="8">
        <f>+K37+K27+K17+K16+K15</f>
        <v>407298194</v>
      </c>
      <c r="L45" s="8">
        <f t="shared" si="14"/>
        <v>377298194</v>
      </c>
      <c r="M45" s="8">
        <f t="shared" si="14"/>
        <v>382298194</v>
      </c>
      <c r="N45" s="8">
        <f t="shared" si="14"/>
        <v>160298197.34999999</v>
      </c>
      <c r="O45" s="8">
        <f>+O37+O27+O17+O16+O15</f>
        <v>3256218331.3499999</v>
      </c>
      <c r="P45" s="34">
        <f t="shared" si="1"/>
        <v>133000000.00456667</v>
      </c>
      <c r="Q45" s="40">
        <f t="shared" si="2"/>
        <v>-65141000</v>
      </c>
      <c r="R45" s="35"/>
      <c r="S45" s="2"/>
      <c r="U45" s="20"/>
      <c r="V45" s="20"/>
      <c r="W45" s="20"/>
      <c r="X45" s="20"/>
    </row>
    <row r="46" spans="1:26" x14ac:dyDescent="0.25">
      <c r="A46" s="5" t="s">
        <v>35</v>
      </c>
      <c r="B46" s="4">
        <v>45053763.229277767</v>
      </c>
      <c r="C46" s="27">
        <f>+B46/12</f>
        <v>3754480.2691064808</v>
      </c>
      <c r="D46" s="4">
        <f>+C46</f>
        <v>3754480.2691064808</v>
      </c>
      <c r="E46" s="4">
        <f t="shared" ref="E46:N46" si="15">+D46</f>
        <v>3754480.2691064808</v>
      </c>
      <c r="F46" s="4">
        <f t="shared" si="15"/>
        <v>3754480.2691064808</v>
      </c>
      <c r="G46" s="4">
        <f t="shared" si="15"/>
        <v>3754480.2691064808</v>
      </c>
      <c r="H46" s="4">
        <v>3754480.2691064808</v>
      </c>
      <c r="I46" s="4">
        <f t="shared" si="15"/>
        <v>3754480.2691064808</v>
      </c>
      <c r="J46" s="97">
        <f t="shared" si="15"/>
        <v>3754480.2691064808</v>
      </c>
      <c r="K46" s="4">
        <f t="shared" si="15"/>
        <v>3754480.2691064808</v>
      </c>
      <c r="L46" s="91">
        <f t="shared" si="15"/>
        <v>3754480.2691064808</v>
      </c>
      <c r="M46" s="4">
        <f t="shared" si="15"/>
        <v>3754480.2691064808</v>
      </c>
      <c r="N46" s="4">
        <f t="shared" si="15"/>
        <v>3754480.2691064808</v>
      </c>
      <c r="O46" s="4">
        <f>SUM(C46:N46)</f>
        <v>45053763.22927776</v>
      </c>
      <c r="P46" s="34">
        <f t="shared" si="1"/>
        <v>0</v>
      </c>
      <c r="Q46" s="40">
        <f t="shared" si="2"/>
        <v>0</v>
      </c>
      <c r="R46" s="38"/>
      <c r="S46" s="2"/>
      <c r="U46" s="20"/>
      <c r="V46" s="20"/>
      <c r="W46" s="20"/>
      <c r="X46" s="20"/>
    </row>
    <row r="47" spans="1:26" x14ac:dyDescent="0.25">
      <c r="A47" s="5" t="s">
        <v>14</v>
      </c>
      <c r="B47" s="4">
        <v>95000000</v>
      </c>
      <c r="C47" s="4">
        <v>0</v>
      </c>
      <c r="D47" s="4">
        <f>15000000+35000000</f>
        <v>50000000</v>
      </c>
      <c r="E47" s="4">
        <v>20000000</v>
      </c>
      <c r="F47" s="4">
        <v>0</v>
      </c>
      <c r="G47" s="4">
        <f>+'[7]Planeación 2024 P&amp;K'!$P$104+'[7]Planeación 2024 P&amp;K'!$P$105</f>
        <v>17250000</v>
      </c>
      <c r="H47" s="4">
        <v>22750000</v>
      </c>
      <c r="I47" s="4">
        <f>+'[9]Planeación 2024 P&amp;K'!$R$106</f>
        <v>3000000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f>SUM(C47:N47)-18000000</f>
        <v>95000000</v>
      </c>
      <c r="P47" s="34">
        <f t="shared" si="1"/>
        <v>0</v>
      </c>
      <c r="Q47" s="40">
        <f t="shared" si="2"/>
        <v>18000000</v>
      </c>
      <c r="R47" s="38"/>
      <c r="S47" s="2"/>
      <c r="U47" s="20"/>
      <c r="V47" s="20"/>
      <c r="W47" s="20"/>
      <c r="X47" s="20"/>
    </row>
    <row r="48" spans="1:26" x14ac:dyDescent="0.25">
      <c r="A48" s="12" t="s">
        <v>15</v>
      </c>
      <c r="B48" s="8">
        <f>SUM(B46:B47)</f>
        <v>140053763.22927776</v>
      </c>
      <c r="C48" s="8">
        <f>SUM(C46:C47)</f>
        <v>3754480.2691064808</v>
      </c>
      <c r="D48" s="8">
        <f>SUM(D46:D47)</f>
        <v>53754480.269106477</v>
      </c>
      <c r="E48" s="8">
        <f t="shared" ref="E48:O48" si="16">SUM(E46:E47)</f>
        <v>23754480.269106481</v>
      </c>
      <c r="F48" s="8">
        <f t="shared" si="16"/>
        <v>3754480.2691064808</v>
      </c>
      <c r="G48" s="8">
        <f t="shared" si="16"/>
        <v>21004480.269106481</v>
      </c>
      <c r="H48" s="8">
        <f t="shared" si="16"/>
        <v>26504480.269106481</v>
      </c>
      <c r="I48" s="8">
        <f t="shared" si="16"/>
        <v>6754480.2691064812</v>
      </c>
      <c r="J48" s="8">
        <f t="shared" si="16"/>
        <v>3754480.2691064808</v>
      </c>
      <c r="K48" s="8">
        <f t="shared" si="16"/>
        <v>3754480.2691064808</v>
      </c>
      <c r="L48" s="8">
        <f t="shared" si="16"/>
        <v>3754480.2691064808</v>
      </c>
      <c r="M48" s="8">
        <f t="shared" si="16"/>
        <v>3754480.2691064808</v>
      </c>
      <c r="N48" s="8">
        <f t="shared" si="16"/>
        <v>3754480.2691064808</v>
      </c>
      <c r="O48" s="8">
        <f t="shared" si="16"/>
        <v>140053763.22927776</v>
      </c>
      <c r="P48" s="34">
        <f t="shared" si="1"/>
        <v>0</v>
      </c>
      <c r="Q48" s="40">
        <f t="shared" si="2"/>
        <v>17999999.99999997</v>
      </c>
      <c r="R48" s="36"/>
      <c r="S48" s="2"/>
      <c r="U48" s="20"/>
      <c r="V48" s="20"/>
      <c r="W48" s="20"/>
      <c r="X48" s="20"/>
    </row>
    <row r="49" spans="1:24" x14ac:dyDescent="0.25">
      <c r="A49" s="12" t="s">
        <v>1</v>
      </c>
      <c r="B49" s="8">
        <f>+B48+B45</f>
        <v>3263272094.5747108</v>
      </c>
      <c r="C49" s="8">
        <f>+C48+C45</f>
        <v>143189340.93577313</v>
      </c>
      <c r="D49" s="8">
        <f>+D48+D45</f>
        <v>235189340.93577316</v>
      </c>
      <c r="E49" s="8">
        <f t="shared" ref="E49:O49" si="17">+E48+E45</f>
        <v>207189340.93577316</v>
      </c>
      <c r="F49" s="8">
        <f t="shared" si="17"/>
        <v>151302674.26910648</v>
      </c>
      <c r="G49" s="8">
        <f t="shared" si="17"/>
        <v>271302674.26910651</v>
      </c>
      <c r="H49" s="8">
        <f t="shared" si="17"/>
        <v>249152674.26910648</v>
      </c>
      <c r="I49" s="8">
        <f t="shared" si="17"/>
        <v>432702674.26910651</v>
      </c>
      <c r="J49" s="8">
        <f t="shared" si="17"/>
        <v>316891674.26910651</v>
      </c>
      <c r="K49" s="8">
        <f t="shared" si="17"/>
        <v>411052674.26910651</v>
      </c>
      <c r="L49" s="8">
        <f t="shared" si="17"/>
        <v>381052674.26910651</v>
      </c>
      <c r="M49" s="8">
        <f t="shared" si="17"/>
        <v>386052674.26910651</v>
      </c>
      <c r="N49" s="8">
        <f t="shared" si="17"/>
        <v>164052677.61910647</v>
      </c>
      <c r="O49" s="8">
        <f t="shared" si="17"/>
        <v>3396272094.5792775</v>
      </c>
      <c r="P49" s="34">
        <f t="shared" si="1"/>
        <v>133000000.00456667</v>
      </c>
      <c r="Q49" s="40">
        <f t="shared" si="2"/>
        <v>-47141000.000000477</v>
      </c>
      <c r="R49" s="35"/>
      <c r="S49" s="2"/>
      <c r="T49" s="2"/>
      <c r="U49" s="20"/>
      <c r="V49" s="20"/>
      <c r="W49" s="20"/>
      <c r="X49" s="20"/>
    </row>
    <row r="50" spans="1:24" x14ac:dyDescent="0.25">
      <c r="A50" s="22" t="s">
        <v>58</v>
      </c>
      <c r="B50" s="4">
        <v>1348189693.8599594</v>
      </c>
      <c r="C50" s="4">
        <f>+B50/12</f>
        <v>112349141.15499662</v>
      </c>
      <c r="D50" s="4">
        <f>+C50</f>
        <v>112349141.15499662</v>
      </c>
      <c r="E50" s="4">
        <f t="shared" ref="E50:N50" si="18">+D50</f>
        <v>112349141.15499662</v>
      </c>
      <c r="F50" s="4">
        <f t="shared" si="18"/>
        <v>112349141.15499662</v>
      </c>
      <c r="G50" s="4">
        <v>112349141.15499662</v>
      </c>
      <c r="H50" s="4">
        <f t="shared" si="18"/>
        <v>112349141.15499662</v>
      </c>
      <c r="I50" s="4">
        <f t="shared" si="18"/>
        <v>112349141.15499662</v>
      </c>
      <c r="J50" s="97">
        <f t="shared" si="18"/>
        <v>112349141.15499662</v>
      </c>
      <c r="K50" s="4">
        <f t="shared" si="18"/>
        <v>112349141.15499662</v>
      </c>
      <c r="L50" s="91">
        <f t="shared" si="18"/>
        <v>112349141.15499662</v>
      </c>
      <c r="M50" s="4">
        <f t="shared" si="18"/>
        <v>112349141.15499662</v>
      </c>
      <c r="N50" s="4">
        <f t="shared" si="18"/>
        <v>112349141.15499662</v>
      </c>
      <c r="O50" s="4">
        <f t="shared" ref="O50:O141" si="19">SUM(C50:N50)</f>
        <v>1348189693.8599594</v>
      </c>
      <c r="P50" s="34">
        <f t="shared" si="1"/>
        <v>0</v>
      </c>
      <c r="Q50" s="40">
        <f t="shared" si="2"/>
        <v>0</v>
      </c>
      <c r="R50" s="38"/>
      <c r="S50" s="2"/>
      <c r="T50" s="37"/>
      <c r="U50" s="20"/>
      <c r="V50" s="20"/>
      <c r="W50" s="20"/>
      <c r="X50" s="20"/>
    </row>
    <row r="51" spans="1:24" ht="45" x14ac:dyDescent="0.25">
      <c r="A51" s="21" t="s">
        <v>65</v>
      </c>
      <c r="B51" s="4"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f t="shared" si="19"/>
        <v>0</v>
      </c>
      <c r="P51" s="34">
        <f t="shared" si="1"/>
        <v>0</v>
      </c>
      <c r="Q51" s="40">
        <f t="shared" si="2"/>
        <v>0</v>
      </c>
      <c r="R51" s="38"/>
      <c r="S51" s="2"/>
      <c r="T51" s="37"/>
      <c r="U51" s="20"/>
      <c r="V51" s="20"/>
    </row>
    <row r="52" spans="1:24" x14ac:dyDescent="0.25">
      <c r="A52" s="57" t="s">
        <v>16</v>
      </c>
      <c r="B52" s="10">
        <f>+B53</f>
        <v>15000000</v>
      </c>
      <c r="C52" s="10">
        <f t="shared" ref="C52:O52" si="20">+C53</f>
        <v>26027616</v>
      </c>
      <c r="D52" s="10">
        <f t="shared" si="20"/>
        <v>0</v>
      </c>
      <c r="E52" s="10">
        <f t="shared" si="20"/>
        <v>0</v>
      </c>
      <c r="F52" s="10">
        <f t="shared" si="20"/>
        <v>0</v>
      </c>
      <c r="G52" s="10">
        <v>0</v>
      </c>
      <c r="H52" s="10">
        <f t="shared" si="20"/>
        <v>0</v>
      </c>
      <c r="I52" s="10">
        <f t="shared" si="20"/>
        <v>0</v>
      </c>
      <c r="J52" s="10">
        <f t="shared" si="20"/>
        <v>0</v>
      </c>
      <c r="K52" s="10">
        <f t="shared" si="20"/>
        <v>0</v>
      </c>
      <c r="L52" s="10">
        <f t="shared" si="20"/>
        <v>10013808</v>
      </c>
      <c r="M52" s="10">
        <f t="shared" si="20"/>
        <v>0</v>
      </c>
      <c r="N52" s="10">
        <f t="shared" si="20"/>
        <v>0</v>
      </c>
      <c r="O52" s="10">
        <f t="shared" si="20"/>
        <v>18000000</v>
      </c>
      <c r="P52" s="34">
        <f t="shared" si="1"/>
        <v>3000000</v>
      </c>
      <c r="Q52" s="40">
        <f t="shared" si="2"/>
        <v>18041424</v>
      </c>
      <c r="R52" s="38"/>
      <c r="S52" s="2"/>
      <c r="T52" s="2"/>
    </row>
    <row r="53" spans="1:24" ht="90" x14ac:dyDescent="0.25">
      <c r="A53" s="21" t="s">
        <v>159</v>
      </c>
      <c r="B53" s="97">
        <f>26027616-3000000-8027616</f>
        <v>15000000</v>
      </c>
      <c r="C53" s="4">
        <v>26027616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91">
        <f>+'[10]Planeación 2024 P&amp;K'!$V$127</f>
        <v>10013808</v>
      </c>
      <c r="M53" s="4">
        <v>0</v>
      </c>
      <c r="N53" s="52">
        <v>0</v>
      </c>
      <c r="O53" s="4">
        <f>SUM(C53:N53)-18041424</f>
        <v>18000000</v>
      </c>
      <c r="P53" s="34">
        <f t="shared" si="1"/>
        <v>3000000</v>
      </c>
      <c r="Q53" s="40">
        <f t="shared" si="2"/>
        <v>18041424</v>
      </c>
      <c r="R53" s="38"/>
      <c r="S53" s="2"/>
      <c r="T53" s="2"/>
    </row>
    <row r="54" spans="1:24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4">
        <f t="shared" si="1"/>
        <v>0</v>
      </c>
      <c r="Q54" s="40">
        <f t="shared" si="2"/>
        <v>0</v>
      </c>
      <c r="R54" s="38"/>
      <c r="S54" s="2"/>
      <c r="T54" s="2"/>
    </row>
    <row r="55" spans="1:24" x14ac:dyDescent="0.25">
      <c r="A55" s="57" t="s">
        <v>17</v>
      </c>
      <c r="B55" s="10">
        <f>SUM(B56:B57)</f>
        <v>576470000</v>
      </c>
      <c r="C55" s="10">
        <f t="shared" ref="C55:N55" si="21">SUM(C56:C57)</f>
        <v>61474815</v>
      </c>
      <c r="D55" s="10">
        <f t="shared" si="21"/>
        <v>59412573</v>
      </c>
      <c r="E55" s="10">
        <f t="shared" si="21"/>
        <v>0</v>
      </c>
      <c r="F55" s="10">
        <f t="shared" si="21"/>
        <v>0</v>
      </c>
      <c r="G55" s="10">
        <f t="shared" si="21"/>
        <v>63900000</v>
      </c>
      <c r="H55" s="10">
        <f t="shared" si="21"/>
        <v>63900000</v>
      </c>
      <c r="I55" s="10">
        <f t="shared" si="21"/>
        <v>63900000</v>
      </c>
      <c r="J55" s="10">
        <f t="shared" si="21"/>
        <v>64400000</v>
      </c>
      <c r="K55" s="10">
        <f t="shared" si="21"/>
        <v>63900000</v>
      </c>
      <c r="L55" s="10">
        <f t="shared" si="21"/>
        <v>63900000</v>
      </c>
      <c r="M55" s="10">
        <f t="shared" si="21"/>
        <v>60443694</v>
      </c>
      <c r="N55" s="10">
        <f t="shared" si="21"/>
        <v>4168744</v>
      </c>
      <c r="O55" s="10">
        <f>SUM(O56:O57)-33162000</f>
        <v>520195050</v>
      </c>
      <c r="P55" s="34">
        <f t="shared" si="1"/>
        <v>-56274950</v>
      </c>
      <c r="Q55" s="40">
        <f t="shared" si="2"/>
        <v>49204776</v>
      </c>
      <c r="R55" s="38"/>
      <c r="S55" s="2"/>
      <c r="T55" s="2"/>
    </row>
    <row r="56" spans="1:24" ht="60" x14ac:dyDescent="0.25">
      <c r="A56" s="56" t="s">
        <v>150</v>
      </c>
      <c r="B56" s="4">
        <f>552096000-100726000</f>
        <v>451370000</v>
      </c>
      <c r="C56" s="4">
        <v>46008000</v>
      </c>
      <c r="D56" s="4">
        <v>46008000</v>
      </c>
      <c r="E56" s="4">
        <f>46008000-46008000</f>
        <v>0</v>
      </c>
      <c r="F56" s="4">
        <f>46008000-46008000</f>
        <v>0</v>
      </c>
      <c r="G56" s="4">
        <v>50000000</v>
      </c>
      <c r="H56" s="4">
        <f>+'[7]Planeación 2024 P&amp;K'!$Q$117</f>
        <v>50000000</v>
      </c>
      <c r="I56" s="4">
        <f>+'[9]Planeación 2024 P&amp;K'!$R$117</f>
        <v>50000000</v>
      </c>
      <c r="J56" s="97">
        <f>+'[10]Planeación 2024 P&amp;K'!$T$116</f>
        <v>50500000</v>
      </c>
      <c r="K56" s="4">
        <f>+'[10]Planeación 2024 P&amp;K'!$U$116</f>
        <v>50000000</v>
      </c>
      <c r="L56" s="91">
        <f>+'[10]Planeación 2024 P&amp;K'!$V$116</f>
        <v>50000000</v>
      </c>
      <c r="M56" s="4">
        <v>46008000</v>
      </c>
      <c r="N56" s="4">
        <v>0</v>
      </c>
      <c r="O56" s="4">
        <f t="shared" si="19"/>
        <v>438524000</v>
      </c>
      <c r="P56" s="34"/>
      <c r="Q56" s="40">
        <f t="shared" si="2"/>
        <v>0</v>
      </c>
      <c r="R56" s="38"/>
      <c r="S56" s="2"/>
      <c r="T56" s="2"/>
    </row>
    <row r="57" spans="1:24" ht="48" x14ac:dyDescent="0.25">
      <c r="A57" s="56" t="s">
        <v>155</v>
      </c>
      <c r="B57" s="4">
        <f>175290570-50190570</f>
        <v>125100000</v>
      </c>
      <c r="C57" s="86">
        <v>15466815</v>
      </c>
      <c r="D57" s="86">
        <v>13404573</v>
      </c>
      <c r="E57" s="86">
        <f>14435694-14435694</f>
        <v>0</v>
      </c>
      <c r="F57" s="86">
        <f>14435694-14435694</f>
        <v>0</v>
      </c>
      <c r="G57" s="86">
        <v>13900000</v>
      </c>
      <c r="H57" s="63">
        <f>+'[7]Planeación 2024 P&amp;K'!$Q$122</f>
        <v>13900000</v>
      </c>
      <c r="I57" s="63">
        <f>+'[9]Planeación 2024 P&amp;K'!$R$122</f>
        <v>13900000</v>
      </c>
      <c r="J57" s="100">
        <f>+'[10]Planeación 2024 P&amp;K'!$T$121</f>
        <v>13900000</v>
      </c>
      <c r="K57" s="63">
        <f>+'[10]Planeación 2024 P&amp;K'!$U$121</f>
        <v>13900000</v>
      </c>
      <c r="L57" s="114">
        <f>+'[10]Planeación 2024 P&amp;K'!$V$121</f>
        <v>13900000</v>
      </c>
      <c r="M57" s="63">
        <v>14435694</v>
      </c>
      <c r="N57" s="63">
        <f>14435694-10266950</f>
        <v>4168744</v>
      </c>
      <c r="O57" s="4">
        <f>SUM(C57:N57)-16042776</f>
        <v>114833050</v>
      </c>
      <c r="P57" s="34">
        <f t="shared" si="1"/>
        <v>-10266950</v>
      </c>
      <c r="Q57" s="40">
        <f t="shared" si="2"/>
        <v>16042776</v>
      </c>
      <c r="R57" s="38"/>
      <c r="S57" s="2"/>
      <c r="T57" s="2"/>
    </row>
    <row r="58" spans="1:24" hidden="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4">
        <f t="shared" si="1"/>
        <v>0</v>
      </c>
      <c r="Q58" s="40">
        <f t="shared" si="2"/>
        <v>0</v>
      </c>
      <c r="R58" s="38"/>
      <c r="S58" s="2"/>
      <c r="T58" s="2"/>
    </row>
    <row r="59" spans="1:24" x14ac:dyDescent="0.25">
      <c r="A59" s="57" t="s">
        <v>7</v>
      </c>
      <c r="B59" s="10">
        <f>SUM(B60:B72)</f>
        <v>299564999.57200003</v>
      </c>
      <c r="C59" s="10">
        <f t="shared" ref="C59:O59" si="22">SUM(C60:C72)</f>
        <v>39598775.880999997</v>
      </c>
      <c r="D59" s="10">
        <f t="shared" si="22"/>
        <v>50098775.880999997</v>
      </c>
      <c r="E59" s="10">
        <f t="shared" si="22"/>
        <v>6000000</v>
      </c>
      <c r="F59" s="10">
        <f t="shared" si="22"/>
        <v>15156500</v>
      </c>
      <c r="G59" s="10">
        <f t="shared" si="22"/>
        <v>49856500</v>
      </c>
      <c r="H59" s="10">
        <f t="shared" si="22"/>
        <v>62456500</v>
      </c>
      <c r="I59" s="10">
        <f t="shared" si="22"/>
        <v>51156500</v>
      </c>
      <c r="J59" s="10">
        <f t="shared" si="22"/>
        <v>36856500</v>
      </c>
      <c r="K59" s="10">
        <f>SUM(K60:K72)</f>
        <v>50856500</v>
      </c>
      <c r="L59" s="10">
        <f t="shared" si="22"/>
        <v>30856500</v>
      </c>
      <c r="M59" s="10">
        <f t="shared" si="22"/>
        <v>39017795.571000002</v>
      </c>
      <c r="N59" s="10">
        <f t="shared" si="22"/>
        <v>11452614.141000001</v>
      </c>
      <c r="O59" s="10">
        <f t="shared" si="22"/>
        <v>259198336.574</v>
      </c>
      <c r="P59" s="34">
        <f t="shared" si="1"/>
        <v>-40366662.998000026</v>
      </c>
      <c r="Q59" s="40">
        <f>SUM(C59:N59)-O59</f>
        <v>184165124.89999992</v>
      </c>
      <c r="R59" s="38"/>
      <c r="S59" s="2"/>
      <c r="T59" s="2"/>
    </row>
    <row r="60" spans="1:24" ht="48" x14ac:dyDescent="0.25">
      <c r="A60" s="60" t="s">
        <v>151</v>
      </c>
      <c r="B60" s="97">
        <f>140400000-70200000-32200000</f>
        <v>38000000</v>
      </c>
      <c r="C60" s="4">
        <v>11700000</v>
      </c>
      <c r="D60" s="4">
        <f>+C60</f>
        <v>11700000</v>
      </c>
      <c r="E60" s="4">
        <f>11700000-11700000</f>
        <v>0</v>
      </c>
      <c r="F60" s="4">
        <f>11700000-11700000</f>
        <v>0</v>
      </c>
      <c r="G60" s="4">
        <v>1300000</v>
      </c>
      <c r="H60" s="4">
        <v>0</v>
      </c>
      <c r="I60" s="4">
        <f>+'[9]Planeación 2024 P&amp;K'!$R$118</f>
        <v>11700000</v>
      </c>
      <c r="J60" s="97">
        <f>+'[10]Planeación 2024 P&amp;K'!$U$117</f>
        <v>11700000</v>
      </c>
      <c r="K60" s="4">
        <f>+'[10]Planeación 2024 P&amp;K'!$U$117</f>
        <v>11700000</v>
      </c>
      <c r="L60" s="91">
        <f t="shared" ref="L60:M61" si="23">+K60</f>
        <v>11700000</v>
      </c>
      <c r="M60" s="4">
        <f t="shared" si="23"/>
        <v>11700000</v>
      </c>
      <c r="N60" s="4">
        <v>0</v>
      </c>
      <c r="O60" s="4">
        <f>SUM(C60:N60)-56900000</f>
        <v>26300000</v>
      </c>
      <c r="P60" s="34">
        <f t="shared" si="1"/>
        <v>-11700000</v>
      </c>
      <c r="Q60" s="40">
        <f t="shared" si="2"/>
        <v>56900000</v>
      </c>
      <c r="R60" s="38"/>
      <c r="S60" s="2"/>
      <c r="T60" s="2"/>
    </row>
    <row r="61" spans="1:24" ht="60" x14ac:dyDescent="0.25">
      <c r="A61" s="56" t="s">
        <v>152</v>
      </c>
      <c r="B61" s="4">
        <f>14000000-5100000</f>
        <v>8900000</v>
      </c>
      <c r="C61" s="4">
        <v>3000000</v>
      </c>
      <c r="D61" s="4">
        <v>1000000</v>
      </c>
      <c r="E61" s="4">
        <f>1000000-1000000</f>
        <v>0</v>
      </c>
      <c r="F61" s="4">
        <f>1000000-1000000</f>
        <v>0</v>
      </c>
      <c r="G61" s="4">
        <v>0</v>
      </c>
      <c r="H61" s="4">
        <f>+'[7]Planeación 2024 P&amp;K'!$Q$119</f>
        <v>1300000</v>
      </c>
      <c r="I61" s="4">
        <f>+'[9]Planeación 2024 P&amp;K'!$R$119</f>
        <v>1300000</v>
      </c>
      <c r="J61" s="97">
        <f>+'[10]Planeación 2024 P&amp;K'!$T$126+'[10]Planeación 2024 P&amp;K'!$T$118</f>
        <v>3000000</v>
      </c>
      <c r="K61" s="4">
        <f>+'[10]Planeación 2024 P&amp;K'!$U$118</f>
        <v>1000000</v>
      </c>
      <c r="L61" s="91">
        <f t="shared" si="23"/>
        <v>1000000</v>
      </c>
      <c r="M61" s="4">
        <f t="shared" si="23"/>
        <v>1000000</v>
      </c>
      <c r="N61" s="4">
        <v>0</v>
      </c>
      <c r="O61" s="4">
        <f>SUM(C61:N61)-4700000</f>
        <v>7900000</v>
      </c>
      <c r="P61" s="34">
        <f t="shared" si="1"/>
        <v>-1000000</v>
      </c>
      <c r="Q61" s="40">
        <f t="shared" si="2"/>
        <v>4700000</v>
      </c>
      <c r="R61" s="38"/>
      <c r="S61" s="2"/>
      <c r="T61" s="2"/>
    </row>
    <row r="62" spans="1:24" ht="48" x14ac:dyDescent="0.25">
      <c r="A62" s="60" t="s">
        <v>153</v>
      </c>
      <c r="B62" s="4">
        <f>88000000-38000000-4000000</f>
        <v>46000000</v>
      </c>
      <c r="C62" s="86">
        <v>12000000</v>
      </c>
      <c r="D62" s="86">
        <v>8000000</v>
      </c>
      <c r="E62" s="86">
        <f>8000000-8000000</f>
        <v>0</v>
      </c>
      <c r="F62" s="86">
        <f>8000000-8000000</f>
        <v>0</v>
      </c>
      <c r="G62" s="63">
        <v>0</v>
      </c>
      <c r="H62" s="63">
        <f>+'[7]Planeación 2024 P&amp;K'!$Q$120</f>
        <v>30000000</v>
      </c>
      <c r="I62" s="63">
        <v>0</v>
      </c>
      <c r="J62" s="63">
        <v>0</v>
      </c>
      <c r="K62" s="63">
        <f>+'[10]Planeación 2024 P&amp;K'!$U$120</f>
        <v>2000000</v>
      </c>
      <c r="L62" s="63">
        <v>0</v>
      </c>
      <c r="M62" s="63">
        <v>5000000</v>
      </c>
      <c r="N62" s="63">
        <v>0</v>
      </c>
      <c r="O62" s="4">
        <f>SUM(C62:N62)-22000000</f>
        <v>35000000</v>
      </c>
      <c r="P62" s="34">
        <f t="shared" si="1"/>
        <v>-11000000</v>
      </c>
      <c r="Q62" s="40">
        <f t="shared" si="2"/>
        <v>22000000</v>
      </c>
      <c r="R62" s="38"/>
      <c r="S62" s="2"/>
      <c r="T62" s="2"/>
    </row>
    <row r="63" spans="1:24" ht="48" x14ac:dyDescent="0.25">
      <c r="A63" s="60" t="s">
        <v>154</v>
      </c>
      <c r="B63" s="4">
        <v>7000000</v>
      </c>
      <c r="C63" s="63">
        <v>1000000</v>
      </c>
      <c r="D63" s="63">
        <v>0</v>
      </c>
      <c r="E63" s="63">
        <v>0</v>
      </c>
      <c r="F63" s="63"/>
      <c r="G63" s="63">
        <v>0</v>
      </c>
      <c r="H63" s="63">
        <f>+'[7]Planeación 2024 P&amp;K'!$Q$121</f>
        <v>2000000</v>
      </c>
      <c r="I63" s="63">
        <v>0</v>
      </c>
      <c r="J63" s="100">
        <f>+'[10]Planeación 2024 P&amp;K'!$T$126+'[10]Planeación 2024 P&amp;K'!$T$128</f>
        <v>8000000</v>
      </c>
      <c r="K63" s="63">
        <f>+'[10]Planeación 2024 P&amp;K'!$U$126</f>
        <v>2000000</v>
      </c>
      <c r="L63" s="63">
        <v>0</v>
      </c>
      <c r="M63" s="63">
        <v>2000000</v>
      </c>
      <c r="N63" s="63">
        <v>0</v>
      </c>
      <c r="O63" s="4">
        <f>SUM(C63:N63)-8000000</f>
        <v>7000000</v>
      </c>
      <c r="P63" s="34">
        <f t="shared" si="1"/>
        <v>0</v>
      </c>
      <c r="Q63" s="40">
        <f t="shared" si="2"/>
        <v>8000000</v>
      </c>
      <c r="R63" s="38"/>
      <c r="S63" s="2"/>
      <c r="T63" s="2"/>
    </row>
    <row r="64" spans="1:24" ht="36" x14ac:dyDescent="0.25">
      <c r="A64" s="60" t="s">
        <v>156</v>
      </c>
      <c r="B64" s="97">
        <f>52600000-3000000-4000000</f>
        <v>45600000</v>
      </c>
      <c r="C64" s="4">
        <v>1666667</v>
      </c>
      <c r="D64" s="4">
        <v>1666667</v>
      </c>
      <c r="E64" s="4">
        <f>1666667-1666667</f>
        <v>0</v>
      </c>
      <c r="F64" s="4"/>
      <c r="G64" s="4">
        <v>4400000</v>
      </c>
      <c r="H64" s="4">
        <f>+'[7]Planeación 2024 P&amp;K'!$Q$123+'[7]Planeación 2024 P&amp;K'!$Q$127</f>
        <v>15000000</v>
      </c>
      <c r="I64" s="4">
        <f>+'[9]Planeación 2024 P&amp;K'!$R$127</f>
        <v>2000000</v>
      </c>
      <c r="J64" s="4">
        <v>0</v>
      </c>
      <c r="K64" s="4">
        <v>0</v>
      </c>
      <c r="L64" s="91">
        <f>+'[10]Planeación 2024 P&amp;K'!$V$126</f>
        <v>2000000</v>
      </c>
      <c r="M64" s="4">
        <f>1200000+1666667</f>
        <v>2866667</v>
      </c>
      <c r="N64" s="4">
        <v>0</v>
      </c>
      <c r="O64" s="4">
        <f>SUM(C64:N64)-666664</f>
        <v>28933337</v>
      </c>
      <c r="P64" s="34">
        <f t="shared" si="1"/>
        <v>-16666663</v>
      </c>
      <c r="Q64" s="40">
        <f t="shared" si="2"/>
        <v>666664</v>
      </c>
      <c r="R64" s="38"/>
      <c r="S64" s="2"/>
      <c r="T64" s="2"/>
    </row>
    <row r="65" spans="1:20" ht="60" x14ac:dyDescent="0.25">
      <c r="A65" s="56" t="s">
        <v>157</v>
      </c>
      <c r="B65" s="4">
        <f>44455542.852-28455543</f>
        <v>15999999.851999998</v>
      </c>
      <c r="C65" s="4">
        <v>3704628.571</v>
      </c>
      <c r="D65" s="4">
        <v>3704628.571</v>
      </c>
      <c r="E65" s="4">
        <f>3704629-3704629</f>
        <v>0</v>
      </c>
      <c r="F65" s="4">
        <v>0</v>
      </c>
      <c r="G65" s="4">
        <v>2000000</v>
      </c>
      <c r="H65" s="4">
        <f>+'[7]Planeación 2024 P&amp;K'!$Q$125</f>
        <v>2000000</v>
      </c>
      <c r="I65" s="4">
        <f>+'[9]Planeación 2024 P&amp;K'!$R$125</f>
        <v>2000000</v>
      </c>
      <c r="J65" s="97">
        <f>+'[10]Planeación 2024 P&amp;K'!$T$124</f>
        <v>2000000</v>
      </c>
      <c r="K65" s="4">
        <f>+'[10]Planeación 2024 P&amp;K'!$U$124</f>
        <v>2000000</v>
      </c>
      <c r="L65" s="91">
        <f>+'[10]Planeación 2024 P&amp;K'!$V$124</f>
        <v>2000000</v>
      </c>
      <c r="M65" s="4">
        <f>+D65+590000</f>
        <v>4294628.5710000005</v>
      </c>
      <c r="N65" s="4">
        <f>+M65+1485.57</f>
        <v>4296114.1410000008</v>
      </c>
      <c r="O65" s="4">
        <f>SUM(C65:N65)-12000000</f>
        <v>15999999.854000002</v>
      </c>
      <c r="P65" s="34">
        <f t="shared" si="1"/>
        <v>2.0000040531158447E-3</v>
      </c>
      <c r="Q65" s="40">
        <f t="shared" si="2"/>
        <v>12000000</v>
      </c>
      <c r="R65" s="38"/>
      <c r="S65" s="2"/>
      <c r="T65" s="2"/>
    </row>
    <row r="66" spans="1:20" ht="60" x14ac:dyDescent="0.25">
      <c r="A66" s="56" t="s">
        <v>158</v>
      </c>
      <c r="B66" s="4">
        <f>60000000-60000000</f>
        <v>0</v>
      </c>
      <c r="C66" s="63">
        <v>0</v>
      </c>
      <c r="D66" s="63">
        <v>0</v>
      </c>
      <c r="E66" s="63">
        <v>0</v>
      </c>
      <c r="F66" s="63">
        <v>0</v>
      </c>
      <c r="G66" s="4">
        <v>20000000</v>
      </c>
      <c r="H66" s="63">
        <v>0</v>
      </c>
      <c r="I66" s="4">
        <f>+'[9]Planeación 2024 P&amp;K'!$R$126</f>
        <v>20000000</v>
      </c>
      <c r="J66" s="63">
        <v>0</v>
      </c>
      <c r="K66" s="4">
        <f>+'[10]Planeación 2024 P&amp;K'!$U$125</f>
        <v>20000000</v>
      </c>
      <c r="L66" s="63">
        <v>0</v>
      </c>
      <c r="M66" s="63">
        <v>0</v>
      </c>
      <c r="N66" s="63">
        <v>0</v>
      </c>
      <c r="O66" s="4">
        <f>SUM(C66:N66)-60000000</f>
        <v>0</v>
      </c>
      <c r="P66" s="34">
        <f t="shared" si="1"/>
        <v>0</v>
      </c>
      <c r="Q66" s="40">
        <f t="shared" si="2"/>
        <v>60000000</v>
      </c>
      <c r="R66" s="38"/>
      <c r="S66" s="2"/>
      <c r="T66" s="2"/>
    </row>
    <row r="67" spans="1:20" ht="24" x14ac:dyDescent="0.25">
      <c r="A67" s="60" t="s">
        <v>160</v>
      </c>
      <c r="B67" s="4">
        <v>6000000</v>
      </c>
      <c r="C67" s="63">
        <v>0</v>
      </c>
      <c r="D67" s="63">
        <v>0</v>
      </c>
      <c r="E67" s="4">
        <v>6000000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4">
        <f t="shared" si="19"/>
        <v>6000000</v>
      </c>
      <c r="P67" s="34">
        <f t="shared" si="1"/>
        <v>0</v>
      </c>
      <c r="Q67" s="40">
        <f t="shared" si="2"/>
        <v>0</v>
      </c>
      <c r="R67" s="38"/>
      <c r="S67" s="2"/>
      <c r="T67" s="2"/>
    </row>
    <row r="68" spans="1:20" ht="60" x14ac:dyDescent="0.25">
      <c r="A68" s="56" t="s">
        <v>161</v>
      </c>
      <c r="B68" s="4">
        <f>78329763.72-19829764</f>
        <v>58499999.719999999</v>
      </c>
      <c r="C68" s="4">
        <v>6527480.3099999996</v>
      </c>
      <c r="D68" s="4">
        <v>6527480.3099999996</v>
      </c>
      <c r="E68" s="4">
        <f>6527480-6527480</f>
        <v>0</v>
      </c>
      <c r="F68" s="4">
        <v>6500000</v>
      </c>
      <c r="G68" s="4">
        <v>6500000</v>
      </c>
      <c r="H68" s="4">
        <f>+'[7]Planeación 2024 P&amp;K'!$Q$130</f>
        <v>6500000</v>
      </c>
      <c r="I68" s="4">
        <f>+'[9]Planeación 2024 P&amp;K'!$S$130</f>
        <v>6500000</v>
      </c>
      <c r="J68" s="97">
        <f>+'[10]Planeación 2024 P&amp;K'!$T$129</f>
        <v>6500000</v>
      </c>
      <c r="K68" s="4">
        <f>+'[10]Planeación 2024 P&amp;K'!$U$129</f>
        <v>6500000</v>
      </c>
      <c r="L68" s="91">
        <f>+K68</f>
        <v>6500000</v>
      </c>
      <c r="M68" s="4">
        <f>+L68</f>
        <v>6500000</v>
      </c>
      <c r="N68" s="4">
        <f>+M68</f>
        <v>6500000</v>
      </c>
      <c r="O68" s="4">
        <f>SUM(C68:N68)-13054960.9</f>
        <v>58499999.720000006</v>
      </c>
      <c r="P68" s="34">
        <f t="shared" si="1"/>
        <v>0</v>
      </c>
      <c r="Q68" s="40">
        <f t="shared" si="2"/>
        <v>13054960.899999999</v>
      </c>
      <c r="R68" s="38"/>
      <c r="S68" s="2"/>
      <c r="T68" s="2"/>
    </row>
    <row r="69" spans="1:20" ht="36" x14ac:dyDescent="0.25">
      <c r="A69" s="56" t="s">
        <v>162</v>
      </c>
      <c r="B69" s="4">
        <v>7000000</v>
      </c>
      <c r="C69" s="4"/>
      <c r="D69" s="4"/>
      <c r="E69" s="4"/>
      <c r="F69" s="4">
        <v>3000000</v>
      </c>
      <c r="G69" s="4"/>
      <c r="H69" s="4"/>
      <c r="I69" s="4">
        <f>+'[9]Planeación 2024 P&amp;K'!$R$131</f>
        <v>2000000</v>
      </c>
      <c r="J69" s="4"/>
      <c r="K69" s="4"/>
      <c r="L69" s="91">
        <v>2000000</v>
      </c>
      <c r="M69" s="4"/>
      <c r="N69" s="4"/>
      <c r="O69" s="4">
        <f t="shared" si="19"/>
        <v>7000000</v>
      </c>
      <c r="P69" s="34">
        <f t="shared" si="1"/>
        <v>0</v>
      </c>
      <c r="Q69" s="40">
        <f t="shared" si="2"/>
        <v>0</v>
      </c>
      <c r="R69" s="38"/>
      <c r="S69" s="2"/>
      <c r="T69" s="2"/>
    </row>
    <row r="70" spans="1:20" hidden="1" x14ac:dyDescent="0.25">
      <c r="P70" s="34">
        <f>+O77-B77</f>
        <v>0</v>
      </c>
      <c r="Q70" s="40">
        <f t="shared" si="2"/>
        <v>0</v>
      </c>
      <c r="R70" s="38"/>
      <c r="S70" s="2"/>
      <c r="T70" s="2"/>
    </row>
    <row r="71" spans="1:20" ht="60" x14ac:dyDescent="0.25">
      <c r="A71" s="56" t="s">
        <v>164</v>
      </c>
      <c r="B71" s="4">
        <f>5000000+51565000</f>
        <v>56565000</v>
      </c>
      <c r="C71" s="4"/>
      <c r="D71" s="64">
        <v>2500000</v>
      </c>
      <c r="E71" s="64">
        <v>0</v>
      </c>
      <c r="F71" s="64">
        <v>5656500</v>
      </c>
      <c r="G71" s="64">
        <v>5656500</v>
      </c>
      <c r="H71" s="64">
        <f>+'[7]Planeación 2024 P&amp;K'!$Q$133</f>
        <v>5656500</v>
      </c>
      <c r="I71" s="64">
        <f>+'[9]Planeación 2024 P&amp;K'!$S$133</f>
        <v>5656500</v>
      </c>
      <c r="J71" s="101">
        <f>+'[10]Planeación 2024 P&amp;K'!$T$132</f>
        <v>5656500</v>
      </c>
      <c r="K71" s="64">
        <f>+'[10]Planeación 2024 P&amp;K'!$U$132</f>
        <v>5656500</v>
      </c>
      <c r="L71" s="115">
        <f>+'[10]Planeación 2024 P&amp;K'!$V$132</f>
        <v>5656500</v>
      </c>
      <c r="M71" s="4">
        <f>+J71</f>
        <v>5656500</v>
      </c>
      <c r="N71" s="4">
        <f>+K71</f>
        <v>5656500</v>
      </c>
      <c r="O71" s="4">
        <f>SUM(C71:N71)+3156500</f>
        <v>56565000</v>
      </c>
      <c r="P71" s="34">
        <f t="shared" si="1"/>
        <v>0</v>
      </c>
      <c r="Q71" s="40">
        <f t="shared" si="2"/>
        <v>-3156500</v>
      </c>
      <c r="R71" s="38"/>
      <c r="S71" s="2"/>
      <c r="T71" s="2"/>
    </row>
    <row r="72" spans="1:20" ht="24.75" x14ac:dyDescent="0.25">
      <c r="A72" s="61" t="s">
        <v>165</v>
      </c>
      <c r="B72" s="4">
        <f>15000000-5000000</f>
        <v>10000000</v>
      </c>
      <c r="C72" s="4"/>
      <c r="D72" s="4">
        <v>15000000</v>
      </c>
      <c r="E72" s="4"/>
      <c r="F72" s="4"/>
      <c r="G72" s="4">
        <v>10000000</v>
      </c>
      <c r="H72" s="4"/>
      <c r="I72" s="4"/>
      <c r="J72" s="4"/>
      <c r="K72" s="4"/>
      <c r="L72" s="4"/>
      <c r="M72" s="4"/>
      <c r="N72" s="4">
        <v>-5000000</v>
      </c>
      <c r="O72" s="4">
        <f>SUM(C72:N72)-10000000</f>
        <v>10000000</v>
      </c>
      <c r="P72" s="34">
        <f t="shared" ref="P72:P78" si="24">+O72-B72</f>
        <v>0</v>
      </c>
      <c r="Q72" s="40">
        <f t="shared" ref="Q72:Q134" si="25">SUM(C72:N72)-O72</f>
        <v>10000000</v>
      </c>
      <c r="R72" s="38"/>
      <c r="S72" s="2"/>
      <c r="T72" s="2"/>
    </row>
    <row r="73" spans="1:20" x14ac:dyDescent="0.25">
      <c r="A73" s="57" t="s">
        <v>57</v>
      </c>
      <c r="B73" s="10">
        <f>SUM(B74:B78)</f>
        <v>100020000</v>
      </c>
      <c r="C73" s="10">
        <f t="shared" ref="C73:N73" si="26">SUM(C74:C78)</f>
        <v>615000</v>
      </c>
      <c r="D73" s="10">
        <f t="shared" si="26"/>
        <v>2115000</v>
      </c>
      <c r="E73" s="10">
        <f t="shared" si="26"/>
        <v>1755000</v>
      </c>
      <c r="F73" s="10">
        <f t="shared" si="26"/>
        <v>615000</v>
      </c>
      <c r="G73" s="10">
        <f t="shared" si="26"/>
        <v>615000</v>
      </c>
      <c r="H73" s="10">
        <f t="shared" si="26"/>
        <v>2115000</v>
      </c>
      <c r="I73" s="10">
        <f t="shared" si="26"/>
        <v>1755000</v>
      </c>
      <c r="J73" s="10">
        <f t="shared" si="26"/>
        <v>615000</v>
      </c>
      <c r="K73" s="10">
        <f t="shared" si="26"/>
        <v>615000</v>
      </c>
      <c r="L73" s="10">
        <f t="shared" si="26"/>
        <v>615000</v>
      </c>
      <c r="M73" s="10">
        <f t="shared" si="26"/>
        <v>615000</v>
      </c>
      <c r="N73" s="10">
        <f t="shared" si="26"/>
        <v>615000</v>
      </c>
      <c r="O73" s="10">
        <f>SUM(O74:O78)</f>
        <v>10020000</v>
      </c>
      <c r="P73" s="34">
        <f t="shared" si="24"/>
        <v>-90000000</v>
      </c>
      <c r="Q73" s="40">
        <f t="shared" si="25"/>
        <v>2640000</v>
      </c>
      <c r="R73" s="38"/>
      <c r="S73" s="2"/>
      <c r="T73" s="2"/>
    </row>
    <row r="74" spans="1:20" x14ac:dyDescent="0.25">
      <c r="A74" s="62" t="s">
        <v>166</v>
      </c>
      <c r="B74" s="4">
        <v>50000000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>
        <v>0</v>
      </c>
      <c r="O74" s="4">
        <f t="shared" si="19"/>
        <v>0</v>
      </c>
      <c r="P74" s="34">
        <f t="shared" si="24"/>
        <v>-50000000</v>
      </c>
      <c r="Q74" s="40">
        <f t="shared" si="25"/>
        <v>0</v>
      </c>
      <c r="R74" s="38"/>
      <c r="S74" s="2"/>
      <c r="T74" s="2"/>
    </row>
    <row r="75" spans="1:20" x14ac:dyDescent="0.25">
      <c r="A75" s="6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>
        <f t="shared" si="19"/>
        <v>0</v>
      </c>
      <c r="P75" s="34">
        <f t="shared" si="24"/>
        <v>0</v>
      </c>
      <c r="Q75" s="40">
        <f t="shared" si="25"/>
        <v>0</v>
      </c>
      <c r="R75" s="38"/>
      <c r="S75" s="2"/>
      <c r="T75" s="2"/>
    </row>
    <row r="76" spans="1:20" x14ac:dyDescent="0.25">
      <c r="A76" s="61" t="s">
        <v>167</v>
      </c>
      <c r="B76" s="4">
        <v>40000000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>
        <v>0</v>
      </c>
      <c r="O76" s="4">
        <f t="shared" si="19"/>
        <v>0</v>
      </c>
      <c r="P76" s="34">
        <f t="shared" si="24"/>
        <v>-40000000</v>
      </c>
      <c r="Q76" s="40">
        <f t="shared" si="25"/>
        <v>0</v>
      </c>
      <c r="R76" s="38"/>
      <c r="S76" s="2"/>
      <c r="T76" s="2"/>
    </row>
    <row r="77" spans="1:20" ht="60" x14ac:dyDescent="0.25">
      <c r="A77" s="56" t="s">
        <v>163</v>
      </c>
      <c r="B77" s="4">
        <v>2640000</v>
      </c>
      <c r="C77" s="4"/>
      <c r="D77" s="64">
        <v>1500000</v>
      </c>
      <c r="E77" s="64">
        <v>1140000</v>
      </c>
      <c r="F77" s="4"/>
      <c r="G77" s="4"/>
      <c r="H77" s="4">
        <f>+'[7]Planeación 2024 P&amp;K'!$Q$132</f>
        <v>1500000</v>
      </c>
      <c r="I77" s="4">
        <f>+'[9]Planeación 2024 P&amp;K'!$R$132</f>
        <v>1140000</v>
      </c>
      <c r="J77" s="4"/>
      <c r="K77" s="4"/>
      <c r="L77" s="4"/>
      <c r="M77" s="4"/>
      <c r="N77" s="4"/>
      <c r="O77" s="4">
        <f>SUM(C77:N77)-2640000</f>
        <v>2640000</v>
      </c>
      <c r="P77" s="34">
        <f t="shared" si="24"/>
        <v>0</v>
      </c>
      <c r="Q77" s="40">
        <f t="shared" si="25"/>
        <v>2640000</v>
      </c>
      <c r="R77" s="38"/>
      <c r="S77" s="2"/>
      <c r="T77" s="2"/>
    </row>
    <row r="78" spans="1:20" x14ac:dyDescent="0.25">
      <c r="A78" s="58" t="s">
        <v>145</v>
      </c>
      <c r="B78" s="4">
        <v>7380000</v>
      </c>
      <c r="C78" s="4">
        <v>615000</v>
      </c>
      <c r="D78" s="4">
        <v>615000</v>
      </c>
      <c r="E78" s="4">
        <v>615000</v>
      </c>
      <c r="F78" s="4">
        <v>615000</v>
      </c>
      <c r="G78" s="4">
        <v>615000</v>
      </c>
      <c r="H78" s="4">
        <f t="shared" ref="H78:N78" si="27">+G78</f>
        <v>615000</v>
      </c>
      <c r="I78" s="4">
        <f t="shared" si="27"/>
        <v>615000</v>
      </c>
      <c r="J78" s="97">
        <f>+'[10]Planeación 2024 P&amp;K'!$T$136+'[10]Planeación 2024 P&amp;K'!$T$137+'[10]Planeación 2024 P&amp;K'!$T$138</f>
        <v>615000</v>
      </c>
      <c r="K78" s="4">
        <f>+'[10]Planeación 2024 P&amp;K'!$U$136+'[10]Planeación 2024 P&amp;K'!$U$137+'[10]Planeación 2024 P&amp;K'!$U$138</f>
        <v>615000</v>
      </c>
      <c r="L78" s="91">
        <f t="shared" si="27"/>
        <v>615000</v>
      </c>
      <c r="M78" s="4">
        <f t="shared" si="27"/>
        <v>615000</v>
      </c>
      <c r="N78" s="4">
        <f t="shared" si="27"/>
        <v>615000</v>
      </c>
      <c r="O78" s="4">
        <f>SUM(C78:N78)</f>
        <v>7380000</v>
      </c>
      <c r="P78" s="34">
        <f t="shared" si="24"/>
        <v>0</v>
      </c>
      <c r="Q78" s="40">
        <f t="shared" si="25"/>
        <v>0</v>
      </c>
      <c r="R78" s="38"/>
      <c r="S78" s="2">
        <f>212417639-M81</f>
        <v>-7991.7259966135025</v>
      </c>
      <c r="T78" s="2"/>
    </row>
    <row r="79" spans="1:20" hidden="1" x14ac:dyDescent="0.25">
      <c r="A79" s="6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4"/>
      <c r="Q79" s="40">
        <f t="shared" si="25"/>
        <v>0</v>
      </c>
      <c r="R79" s="38"/>
      <c r="S79" s="2"/>
      <c r="T79" s="2"/>
    </row>
    <row r="80" spans="1:20" hidden="1" x14ac:dyDescent="0.25">
      <c r="A80" s="5" t="s">
        <v>66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>
        <f t="shared" si="19"/>
        <v>0</v>
      </c>
      <c r="P80" s="34"/>
      <c r="Q80" s="40">
        <f t="shared" si="25"/>
        <v>0</v>
      </c>
      <c r="R80" s="38"/>
      <c r="S80" s="2"/>
      <c r="T80" s="2"/>
    </row>
    <row r="81" spans="1:23" x14ac:dyDescent="0.25">
      <c r="A81" s="12" t="s">
        <v>52</v>
      </c>
      <c r="B81" s="8">
        <f t="shared" ref="B81:O81" si="28">+B73+B59+B55+B52+B50</f>
        <v>2339244693.4319592</v>
      </c>
      <c r="C81" s="8">
        <f t="shared" si="28"/>
        <v>240065348.03599662</v>
      </c>
      <c r="D81" s="8">
        <f t="shared" si="28"/>
        <v>223975490.03599662</v>
      </c>
      <c r="E81" s="8">
        <f t="shared" si="28"/>
        <v>120104141.15499662</v>
      </c>
      <c r="F81" s="8">
        <f t="shared" si="28"/>
        <v>128120641.15499662</v>
      </c>
      <c r="G81" s="8">
        <f t="shared" si="28"/>
        <v>226720641.15499663</v>
      </c>
      <c r="H81" s="8">
        <f t="shared" si="28"/>
        <v>240820641.15499663</v>
      </c>
      <c r="I81" s="8">
        <f t="shared" si="28"/>
        <v>229160641.15499663</v>
      </c>
      <c r="J81" s="8">
        <f t="shared" si="28"/>
        <v>214220641.15499663</v>
      </c>
      <c r="K81" s="8">
        <f t="shared" si="28"/>
        <v>227720641.15499663</v>
      </c>
      <c r="L81" s="8">
        <f t="shared" si="28"/>
        <v>217734449.15499663</v>
      </c>
      <c r="M81" s="8">
        <f t="shared" si="28"/>
        <v>212425630.72599661</v>
      </c>
      <c r="N81" s="8">
        <f t="shared" si="28"/>
        <v>128585499.29599662</v>
      </c>
      <c r="O81" s="8">
        <f t="shared" si="28"/>
        <v>2155603080.4339595</v>
      </c>
      <c r="P81" s="34"/>
      <c r="Q81" s="40">
        <f t="shared" si="25"/>
        <v>254051324.9000001</v>
      </c>
      <c r="R81" s="39"/>
      <c r="S81" s="2">
        <f>312-8-320</f>
        <v>-16</v>
      </c>
    </row>
    <row r="82" spans="1:23" x14ac:dyDescent="0.25">
      <c r="A82" s="5" t="s">
        <v>54</v>
      </c>
      <c r="B82" s="46">
        <v>321558151.11005127</v>
      </c>
      <c r="C82" s="4">
        <v>26796512.592504274</v>
      </c>
      <c r="D82" s="4">
        <v>26796512.592504274</v>
      </c>
      <c r="E82" s="4">
        <v>26796512.592504274</v>
      </c>
      <c r="F82" s="4">
        <v>26796512.592504274</v>
      </c>
      <c r="G82" s="4">
        <v>26796512.592504274</v>
      </c>
      <c r="H82" s="4">
        <v>26796512.592504274</v>
      </c>
      <c r="I82" s="4">
        <f t="shared" ref="I82:N82" si="29">+H82</f>
        <v>26796512.592504274</v>
      </c>
      <c r="J82" s="4">
        <f t="shared" si="29"/>
        <v>26796512.592504274</v>
      </c>
      <c r="K82" s="4">
        <f t="shared" si="29"/>
        <v>26796512.592504274</v>
      </c>
      <c r="L82" s="4">
        <f t="shared" si="29"/>
        <v>26796512.592504274</v>
      </c>
      <c r="M82" s="117">
        <f t="shared" si="29"/>
        <v>26796512.592504274</v>
      </c>
      <c r="N82" s="91">
        <f t="shared" si="29"/>
        <v>26796512.592504274</v>
      </c>
      <c r="O82" s="4">
        <f t="shared" si="19"/>
        <v>321558151.11005121</v>
      </c>
      <c r="P82" s="34">
        <f>+O82-B82</f>
        <v>0</v>
      </c>
      <c r="Q82" s="40">
        <f t="shared" si="25"/>
        <v>0</v>
      </c>
      <c r="R82" s="38"/>
      <c r="S82" s="2"/>
      <c r="T82" s="2"/>
      <c r="W82" s="2"/>
    </row>
    <row r="83" spans="1:23" x14ac:dyDescent="0.25">
      <c r="A83" s="5" t="s">
        <v>55</v>
      </c>
      <c r="B83" s="46">
        <v>260086854.6773397</v>
      </c>
      <c r="C83" s="4">
        <v>21673904.556444976</v>
      </c>
      <c r="D83" s="4">
        <v>21673904.556444976</v>
      </c>
      <c r="E83" s="4">
        <v>21673904.556444976</v>
      </c>
      <c r="F83" s="4">
        <v>21673904.556444976</v>
      </c>
      <c r="G83" s="4">
        <v>21673904.556444976</v>
      </c>
      <c r="H83" s="4">
        <v>21673904.556444976</v>
      </c>
      <c r="I83" s="4">
        <f t="shared" ref="I83:N85" si="30">+H83</f>
        <v>21673904.556444976</v>
      </c>
      <c r="J83" s="4">
        <f>26436610-4762705.44</f>
        <v>21673904.559999999</v>
      </c>
      <c r="K83" s="4">
        <v>21673904.559999999</v>
      </c>
      <c r="L83" s="4">
        <f t="shared" si="30"/>
        <v>21673904.559999999</v>
      </c>
      <c r="M83" s="91">
        <f t="shared" si="30"/>
        <v>21673904.559999999</v>
      </c>
      <c r="N83" s="4">
        <f t="shared" si="30"/>
        <v>21673904.559999999</v>
      </c>
      <c r="O83" s="4">
        <f t="shared" si="19"/>
        <v>260086854.69511485</v>
      </c>
      <c r="P83" s="34">
        <f t="shared" ref="P83:P142" si="31">+O83-B83</f>
        <v>1.7775148153305054E-2</v>
      </c>
      <c r="Q83" s="40">
        <f t="shared" si="25"/>
        <v>0</v>
      </c>
      <c r="R83" s="38"/>
      <c r="S83" s="2"/>
      <c r="T83" s="2"/>
      <c r="W83" s="2"/>
    </row>
    <row r="84" spans="1:23" x14ac:dyDescent="0.25">
      <c r="A84" s="5" t="s">
        <v>168</v>
      </c>
      <c r="B84" s="46">
        <f>45000000+28400000-23400000</f>
        <v>50000000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f>+[11]Resumennna!U363</f>
        <v>0</v>
      </c>
      <c r="J84" s="4">
        <f>+'[10]Planeación 2024 P&amp;K'!$T$153</f>
        <v>5000000</v>
      </c>
      <c r="K84" s="4">
        <f>+'[10]Planeación 2024 P&amp;K'!$U$153</f>
        <v>30000000</v>
      </c>
      <c r="L84" s="4">
        <f>+'[10]Planeación 2024 P&amp;K'!$V$153</f>
        <v>14000000</v>
      </c>
      <c r="M84" s="117">
        <f>+[11]Resumennna!Y363</f>
        <v>0</v>
      </c>
      <c r="N84" s="4">
        <f>+[11]Resumennna!Z363</f>
        <v>0</v>
      </c>
      <c r="O84" s="4">
        <f>SUM(C84:N84)+1000000</f>
        <v>50000000</v>
      </c>
      <c r="P84" s="34">
        <f t="shared" si="31"/>
        <v>0</v>
      </c>
      <c r="Q84" s="40">
        <f t="shared" si="25"/>
        <v>-1000000</v>
      </c>
      <c r="R84" s="38"/>
      <c r="S84" s="2"/>
      <c r="T84" s="2"/>
      <c r="W84" s="2"/>
    </row>
    <row r="85" spans="1:23" x14ac:dyDescent="0.25">
      <c r="A85" s="5" t="s">
        <v>18</v>
      </c>
      <c r="B85" s="46">
        <f>10800000-7800000</f>
        <v>3000000</v>
      </c>
      <c r="C85" s="4">
        <v>900000</v>
      </c>
      <c r="D85" s="4">
        <v>900000</v>
      </c>
      <c r="E85" s="4">
        <v>0</v>
      </c>
      <c r="F85" s="4">
        <v>0</v>
      </c>
      <c r="G85" s="4">
        <v>0</v>
      </c>
      <c r="H85" s="4">
        <v>0</v>
      </c>
      <c r="I85" s="4">
        <f t="shared" si="30"/>
        <v>0</v>
      </c>
      <c r="J85" s="4">
        <f t="shared" si="30"/>
        <v>0</v>
      </c>
      <c r="K85" s="4">
        <f>+'[10]Planeación 2024 P&amp;K'!$U$154</f>
        <v>0</v>
      </c>
      <c r="L85" s="4">
        <f t="shared" si="30"/>
        <v>0</v>
      </c>
      <c r="M85" s="117">
        <f t="shared" si="30"/>
        <v>0</v>
      </c>
      <c r="N85" s="4">
        <f t="shared" si="30"/>
        <v>0</v>
      </c>
      <c r="O85" s="4">
        <f>SUM(C85:N85)+1200000</f>
        <v>3000000</v>
      </c>
      <c r="P85" s="34">
        <f t="shared" si="31"/>
        <v>0</v>
      </c>
      <c r="Q85" s="40">
        <f t="shared" si="25"/>
        <v>-1200000</v>
      </c>
      <c r="R85" s="38"/>
      <c r="S85" s="2"/>
      <c r="T85" s="2"/>
    </row>
    <row r="86" spans="1:23" x14ac:dyDescent="0.25">
      <c r="A86" s="5" t="s">
        <v>71</v>
      </c>
      <c r="B86" s="46">
        <f>12900000-5000000</f>
        <v>7900000</v>
      </c>
      <c r="C86" s="4">
        <v>1075000</v>
      </c>
      <c r="D86" s="4">
        <v>1075000</v>
      </c>
      <c r="E86" s="4">
        <v>1075000</v>
      </c>
      <c r="F86" s="4">
        <v>1075000</v>
      </c>
      <c r="G86" s="4">
        <v>1075000</v>
      </c>
      <c r="H86" s="4">
        <v>1075000</v>
      </c>
      <c r="I86" s="4">
        <f>+'[9]Planeación 2024 P&amp;K'!$R$61</f>
        <v>1075000</v>
      </c>
      <c r="J86" s="4">
        <f>+'[10]Planeación 2024 P&amp;K'!$T$60</f>
        <v>1075000</v>
      </c>
      <c r="K86" s="4">
        <f>+'[10]Planeación 2024 P&amp;K'!$U$60</f>
        <v>1075000</v>
      </c>
      <c r="L86" s="4">
        <f>+K86</f>
        <v>1075000</v>
      </c>
      <c r="M86" s="117">
        <f>+L86</f>
        <v>1075000</v>
      </c>
      <c r="N86" s="91">
        <f>+M86</f>
        <v>1075000</v>
      </c>
      <c r="O86" s="4">
        <f>SUM(C86:N86)-5000000</f>
        <v>7900000</v>
      </c>
      <c r="P86" s="34">
        <f t="shared" si="31"/>
        <v>0</v>
      </c>
      <c r="Q86" s="40">
        <f t="shared" si="25"/>
        <v>5000000</v>
      </c>
      <c r="R86" s="38"/>
      <c r="S86" s="2"/>
      <c r="T86" s="2"/>
    </row>
    <row r="87" spans="1:23" x14ac:dyDescent="0.25">
      <c r="A87" s="5" t="s">
        <v>84</v>
      </c>
      <c r="B87" s="46">
        <v>369000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369000</v>
      </c>
      <c r="I87" s="4"/>
      <c r="J87" s="4"/>
      <c r="K87" s="4"/>
      <c r="L87" s="4"/>
      <c r="M87" s="117"/>
      <c r="N87" s="4"/>
      <c r="O87" s="4">
        <f t="shared" si="19"/>
        <v>369000</v>
      </c>
      <c r="P87" s="34">
        <f t="shared" si="31"/>
        <v>0</v>
      </c>
      <c r="Q87" s="40">
        <f t="shared" si="25"/>
        <v>0</v>
      </c>
      <c r="R87" s="38"/>
      <c r="S87" s="2"/>
      <c r="T87" s="2"/>
    </row>
    <row r="88" spans="1:23" x14ac:dyDescent="0.25">
      <c r="A88" s="5" t="s">
        <v>19</v>
      </c>
      <c r="B88" s="46">
        <v>143580000</v>
      </c>
      <c r="C88" s="4">
        <v>11965000</v>
      </c>
      <c r="D88" s="4">
        <v>11965000</v>
      </c>
      <c r="E88" s="4">
        <v>11965000</v>
      </c>
      <c r="F88" s="4">
        <v>11965000</v>
      </c>
      <c r="G88" s="4">
        <v>11965000</v>
      </c>
      <c r="H88" s="4">
        <v>11965000</v>
      </c>
      <c r="I88" s="4">
        <f>+'[9]Planeación 2024 P&amp;K'!$R$63</f>
        <v>11965000</v>
      </c>
      <c r="J88" s="4">
        <f>+'[10]Planeación 2024 P&amp;K'!$T$62</f>
        <v>11965000</v>
      </c>
      <c r="K88" s="4">
        <f>+'[10]Planeación 2024 P&amp;K'!$U$62</f>
        <v>11965000</v>
      </c>
      <c r="L88" s="4">
        <f>+K88</f>
        <v>11965000</v>
      </c>
      <c r="M88" s="117">
        <f>+L88</f>
        <v>11965000</v>
      </c>
      <c r="N88" s="91">
        <f>+M88</f>
        <v>11965000</v>
      </c>
      <c r="O88" s="4">
        <f t="shared" si="19"/>
        <v>143580000</v>
      </c>
      <c r="P88" s="34">
        <f t="shared" si="31"/>
        <v>0</v>
      </c>
      <c r="Q88" s="40">
        <f t="shared" si="25"/>
        <v>0</v>
      </c>
      <c r="R88" s="38"/>
      <c r="S88" s="2"/>
      <c r="T88" s="2"/>
    </row>
    <row r="89" spans="1:23" ht="30" x14ac:dyDescent="0.25">
      <c r="A89" s="21" t="s">
        <v>89</v>
      </c>
      <c r="B89" s="46">
        <f>55500000-46000000-5000000</f>
        <v>4500000</v>
      </c>
      <c r="C89" s="4">
        <v>0</v>
      </c>
      <c r="D89" s="4">
        <v>0</v>
      </c>
      <c r="E89" s="4">
        <v>0</v>
      </c>
      <c r="F89" s="68">
        <v>0</v>
      </c>
      <c r="G89" s="68">
        <v>3500000</v>
      </c>
      <c r="H89" s="68">
        <v>3500000</v>
      </c>
      <c r="I89" s="68">
        <f>+'[9]Planeación 2024 P&amp;K'!$R$65+'[9]Planeación 2024 P&amp;K'!$R$82</f>
        <v>6500000</v>
      </c>
      <c r="J89" s="68">
        <f>+'[10]Planeación 2024 P&amp;K'!$T$78+'[10]Planeación 2024 P&amp;K'!$T$64-3762705</f>
        <v>7237295</v>
      </c>
      <c r="K89" s="68">
        <f>+'[10]Planeación 2024 P&amp;K'!$U$64+3000000</f>
        <v>6500000</v>
      </c>
      <c r="L89" s="68">
        <f>+'[10]Planeación 2024 P&amp;K'!$V$64+'[10]Planeación 2024 P&amp;K'!$V$78</f>
        <v>11000000</v>
      </c>
      <c r="M89" s="117">
        <v>6000000</v>
      </c>
      <c r="N89" s="92">
        <v>3500000</v>
      </c>
      <c r="O89" s="4">
        <f>SUM(C89:N89)-43237295</f>
        <v>4500000</v>
      </c>
      <c r="P89" s="34">
        <f t="shared" si="31"/>
        <v>0</v>
      </c>
      <c r="Q89" s="40">
        <f t="shared" si="25"/>
        <v>43237295</v>
      </c>
      <c r="R89" s="38"/>
      <c r="S89" s="2"/>
      <c r="T89" s="2"/>
    </row>
    <row r="90" spans="1:23" x14ac:dyDescent="0.25">
      <c r="A90" s="5" t="s">
        <v>72</v>
      </c>
      <c r="B90" s="46">
        <f>65580000-3600000</f>
        <v>61980000</v>
      </c>
      <c r="C90" s="4">
        <v>5465000</v>
      </c>
      <c r="D90" s="4">
        <v>5465000</v>
      </c>
      <c r="E90" s="4">
        <v>1865000</v>
      </c>
      <c r="F90" s="4">
        <v>5465000</v>
      </c>
      <c r="G90" s="4">
        <v>5165000</v>
      </c>
      <c r="H90" s="4">
        <v>5165000</v>
      </c>
      <c r="I90" s="4">
        <f>+'[9]Planeación 2024 P&amp;K'!$R$83+'[9]Planeación 2024 P&amp;K'!$R$84+'[9]Planeación 2024 P&amp;K'!$R$85+'[9]Planeación 2024 P&amp;K'!$R$86+'[9]Planeación 2024 P&amp;K'!$R$87</f>
        <v>5165000</v>
      </c>
      <c r="J90" s="4">
        <f>+'[10]Planeación 2024 P&amp;K'!$T$82+'[10]Planeación 2024 P&amp;K'!$T$83+'[10]Planeación 2024 P&amp;K'!$T$84+'[10]Planeación 2024 P&amp;K'!$T$85+'[10]Planeación 2024 P&amp;K'!$T$86</f>
        <v>5165000</v>
      </c>
      <c r="K90" s="4">
        <f>+'[10]Planeación 2024 P&amp;K'!$U$82+'[10]Planeación 2024 P&amp;K'!$U$83+'[10]Planeación 2024 P&amp;K'!$U$84+'[10]Planeación 2024 P&amp;K'!$U$85+'[10]Planeación 2024 P&amp;K'!$U$86</f>
        <v>5165000</v>
      </c>
      <c r="L90" s="4">
        <f>+K90</f>
        <v>5165000</v>
      </c>
      <c r="M90" s="117">
        <f>+L90</f>
        <v>5165000</v>
      </c>
      <c r="N90" s="91">
        <f>+M90</f>
        <v>5165000</v>
      </c>
      <c r="O90" s="4">
        <f>SUM(C90:N90)+2400000</f>
        <v>61980000</v>
      </c>
      <c r="P90" s="34">
        <f t="shared" si="31"/>
        <v>0</v>
      </c>
      <c r="Q90" s="40">
        <f t="shared" si="25"/>
        <v>-2400000</v>
      </c>
      <c r="R90" s="38"/>
      <c r="S90" s="2"/>
      <c r="T90" s="2"/>
    </row>
    <row r="91" spans="1:23" ht="45" x14ac:dyDescent="0.25">
      <c r="A91" s="21" t="s">
        <v>65</v>
      </c>
      <c r="B91" s="46">
        <v>121000000</v>
      </c>
      <c r="C91" s="4">
        <v>0</v>
      </c>
      <c r="D91" s="4">
        <v>0</v>
      </c>
      <c r="E91" s="81">
        <v>44250000</v>
      </c>
      <c r="F91" s="81">
        <v>0</v>
      </c>
      <c r="G91" s="81">
        <v>0</v>
      </c>
      <c r="H91" s="81">
        <v>16250000</v>
      </c>
      <c r="I91" s="81">
        <v>0</v>
      </c>
      <c r="J91" s="81">
        <f>+'[10]Planeación 2024 P&amp;K'!$T$65</f>
        <v>28000000</v>
      </c>
      <c r="K91" s="81">
        <f>+'[10]Planeación 2024 P&amp;K'!$U$90</f>
        <v>16250000</v>
      </c>
      <c r="L91" s="4">
        <f>+[11]Resumennna!X317</f>
        <v>0</v>
      </c>
      <c r="M91" s="117">
        <f>+[11]Resumennna!Y317</f>
        <v>0</v>
      </c>
      <c r="N91" s="91">
        <v>0</v>
      </c>
      <c r="O91" s="4">
        <f t="shared" si="19"/>
        <v>104750000</v>
      </c>
      <c r="P91" s="34">
        <f t="shared" si="31"/>
        <v>-16250000</v>
      </c>
      <c r="Q91" s="40">
        <f t="shared" si="25"/>
        <v>0</v>
      </c>
      <c r="R91" s="38"/>
      <c r="S91" s="2">
        <v>1150000</v>
      </c>
      <c r="T91" s="2" t="s">
        <v>216</v>
      </c>
    </row>
    <row r="92" spans="1:23" ht="45" x14ac:dyDescent="0.25">
      <c r="A92" s="21" t="s">
        <v>20</v>
      </c>
      <c r="B92" s="4"/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f>+[11]Resumennna!U348</f>
        <v>0</v>
      </c>
      <c r="J92" s="4">
        <f>+[11]Resumennna!V348</f>
        <v>0</v>
      </c>
      <c r="K92" s="4">
        <v>0</v>
      </c>
      <c r="L92" s="4">
        <f>+[11]Resumennna!X348</f>
        <v>0</v>
      </c>
      <c r="M92" s="4">
        <f>+[11]Resumennna!Y348</f>
        <v>0</v>
      </c>
      <c r="N92" s="4">
        <f>+[11]Resumennna!Z348</f>
        <v>0</v>
      </c>
      <c r="O92" s="4">
        <f t="shared" si="19"/>
        <v>0</v>
      </c>
      <c r="P92" s="34">
        <f t="shared" si="31"/>
        <v>0</v>
      </c>
      <c r="Q92" s="40">
        <f t="shared" si="25"/>
        <v>0</v>
      </c>
      <c r="R92" s="38"/>
      <c r="S92" s="2">
        <v>400000</v>
      </c>
      <c r="T92" s="2" t="s">
        <v>217</v>
      </c>
    </row>
    <row r="93" spans="1:23" x14ac:dyDescent="0.25">
      <c r="A93" s="5" t="s">
        <v>21</v>
      </c>
      <c r="B93" s="46">
        <v>31500000</v>
      </c>
      <c r="C93" s="68">
        <v>0</v>
      </c>
      <c r="D93" s="68">
        <v>0</v>
      </c>
      <c r="E93" s="68">
        <v>0</v>
      </c>
      <c r="F93" s="68">
        <v>3500000</v>
      </c>
      <c r="G93" s="68">
        <v>3500000</v>
      </c>
      <c r="H93" s="68">
        <v>3500000</v>
      </c>
      <c r="I93" s="92">
        <f>+'[9]Planeación 2024 P&amp;K'!$R$160</f>
        <v>3500000</v>
      </c>
      <c r="J93" s="103">
        <f>+'[10]Planeación 2024 P&amp;K'!$T$159</f>
        <v>3500000</v>
      </c>
      <c r="K93" s="68">
        <f>+'[10]Planeación 2024 P&amp;K'!$T$159</f>
        <v>3500000</v>
      </c>
      <c r="L93" s="68">
        <v>3500000</v>
      </c>
      <c r="M93" s="116">
        <v>3500000</v>
      </c>
      <c r="N93" s="92">
        <v>3500000</v>
      </c>
      <c r="O93" s="4">
        <f t="shared" si="19"/>
        <v>31500000</v>
      </c>
      <c r="P93" s="34">
        <f t="shared" si="31"/>
        <v>0</v>
      </c>
      <c r="Q93" s="40">
        <f t="shared" si="25"/>
        <v>0</v>
      </c>
      <c r="R93" s="38"/>
      <c r="S93" s="2">
        <v>1500000</v>
      </c>
      <c r="T93" s="2" t="s">
        <v>218</v>
      </c>
    </row>
    <row r="94" spans="1:23" x14ac:dyDescent="0.25">
      <c r="A94" s="5" t="s">
        <v>181</v>
      </c>
      <c r="B94" s="46">
        <f>35155000-3870000</f>
        <v>31285000</v>
      </c>
      <c r="C94" s="4"/>
      <c r="D94" s="4"/>
      <c r="E94" s="4">
        <v>11993500</v>
      </c>
      <c r="F94" s="81">
        <v>428500</v>
      </c>
      <c r="G94" s="81">
        <v>3428500</v>
      </c>
      <c r="H94" s="68">
        <v>3428500</v>
      </c>
      <c r="I94" s="93">
        <f>+'[9]Planeación 2024 P&amp;K'!$R$67+'[9]Planeación 2024 P&amp;K'!$R$77</f>
        <v>3428500</v>
      </c>
      <c r="J94" s="98">
        <f>+'[10]Planeación 2024 P&amp;K'!$T$66+'[10]Planeación 2024 P&amp;K'!$T$76</f>
        <v>3428500</v>
      </c>
      <c r="K94" s="81">
        <f>+'[10]Planeación 2024 P&amp;K'!$U$76</f>
        <v>428500</v>
      </c>
      <c r="L94" s="81">
        <f>+'[10]Planeación 2024 P&amp;K'!$V$66+'[10]Planeación 2024 P&amp;K'!$V$76</f>
        <v>3428500</v>
      </c>
      <c r="M94" s="116">
        <v>428500</v>
      </c>
      <c r="N94" s="93">
        <v>428500</v>
      </c>
      <c r="O94" s="4">
        <f>SUM(C94:N94)+435000</f>
        <v>31285000</v>
      </c>
      <c r="P94" s="34">
        <f t="shared" si="31"/>
        <v>0</v>
      </c>
      <c r="Q94" s="40">
        <f t="shared" si="25"/>
        <v>-435000</v>
      </c>
      <c r="R94" s="38"/>
      <c r="S94" s="2">
        <v>3500000</v>
      </c>
      <c r="T94" s="2" t="str">
        <f>+A94</f>
        <v>Dotación de cafetería, agua en botellon, hielo</v>
      </c>
    </row>
    <row r="95" spans="1:23" x14ac:dyDescent="0.25">
      <c r="A95" s="21" t="s">
        <v>85</v>
      </c>
      <c r="B95" s="46">
        <v>8000000</v>
      </c>
      <c r="C95" s="4">
        <v>666666.66666666663</v>
      </c>
      <c r="D95" s="4">
        <v>666666.66666666663</v>
      </c>
      <c r="E95" s="4">
        <v>666666.66666666663</v>
      </c>
      <c r="F95" s="4">
        <v>666666.66666666663</v>
      </c>
      <c r="G95" s="4">
        <v>666666.66666666663</v>
      </c>
      <c r="H95" s="4">
        <v>666666.66666666663</v>
      </c>
      <c r="I95" s="91">
        <f>+'[9]Planeación 2024 P&amp;K'!$R$179</f>
        <v>666666.66666666663</v>
      </c>
      <c r="J95" s="97">
        <f>+'[10]Planeación 2024 P&amp;K'!$T$178</f>
        <v>666666.66666666663</v>
      </c>
      <c r="K95" s="4">
        <f>+'[10]Planeación 2024 P&amp;K'!$U$178</f>
        <v>666666.66666666663</v>
      </c>
      <c r="L95" s="4">
        <f>+K95</f>
        <v>666666.66666666663</v>
      </c>
      <c r="M95" s="116">
        <f>+L95</f>
        <v>666666.66666666663</v>
      </c>
      <c r="N95" s="91">
        <f>+M95</f>
        <v>666666.66666666663</v>
      </c>
      <c r="O95" s="4">
        <f t="shared" si="19"/>
        <v>8000000.0000000009</v>
      </c>
      <c r="P95" s="34">
        <f t="shared" si="31"/>
        <v>0</v>
      </c>
      <c r="Q95" s="40">
        <f t="shared" si="25"/>
        <v>0</v>
      </c>
      <c r="R95" s="38"/>
      <c r="S95" s="2">
        <v>15000000</v>
      </c>
      <c r="T95" s="2" t="s">
        <v>219</v>
      </c>
    </row>
    <row r="96" spans="1:23" x14ac:dyDescent="0.25">
      <c r="A96" s="5" t="s">
        <v>23</v>
      </c>
      <c r="B96" s="46">
        <v>117000000</v>
      </c>
      <c r="C96" s="4">
        <v>0</v>
      </c>
      <c r="D96" s="81">
        <v>13000000</v>
      </c>
      <c r="E96" s="81">
        <v>0</v>
      </c>
      <c r="F96" s="81">
        <v>0</v>
      </c>
      <c r="G96" s="81">
        <v>15930000</v>
      </c>
      <c r="H96" s="81">
        <v>13000000</v>
      </c>
      <c r="I96" s="93">
        <f>+'[9]Planeación 2024 P&amp;K'!$R$68</f>
        <v>13000000</v>
      </c>
      <c r="J96" s="98">
        <f>+'[10]Planeación 2024 P&amp;K'!$T$67</f>
        <v>13000000</v>
      </c>
      <c r="K96" s="81">
        <f>+'[10]Planeación 2024 P&amp;K'!$U$67</f>
        <v>13000000</v>
      </c>
      <c r="L96" s="81">
        <v>13000000</v>
      </c>
      <c r="M96" s="116">
        <v>13000000</v>
      </c>
      <c r="N96" s="93">
        <v>0</v>
      </c>
      <c r="O96" s="4">
        <f>SUM(C96:N96)-2930000</f>
        <v>104000000</v>
      </c>
      <c r="P96" s="34">
        <f t="shared" si="31"/>
        <v>-13000000</v>
      </c>
      <c r="Q96" s="40">
        <f t="shared" si="25"/>
        <v>2930000</v>
      </c>
      <c r="R96" s="38"/>
      <c r="S96" s="2">
        <f>SUM(S91:S95)</f>
        <v>21550000</v>
      </c>
      <c r="T96" s="2"/>
    </row>
    <row r="97" spans="1:20" x14ac:dyDescent="0.25">
      <c r="A97" s="5" t="s">
        <v>180</v>
      </c>
      <c r="B97" s="46">
        <f>12000000-12000000</f>
        <v>0</v>
      </c>
      <c r="C97" s="87">
        <v>0</v>
      </c>
      <c r="D97" s="87">
        <v>0</v>
      </c>
      <c r="E97" s="87">
        <v>0</v>
      </c>
      <c r="F97" s="87">
        <v>0</v>
      </c>
      <c r="G97" s="87">
        <v>6000000</v>
      </c>
      <c r="H97" s="87">
        <v>0</v>
      </c>
      <c r="I97" s="94">
        <f>+'[9]Planeación 2024 P&amp;K'!$R$76</f>
        <v>6000000</v>
      </c>
      <c r="J97" s="71">
        <v>0</v>
      </c>
      <c r="K97" s="71">
        <v>0</v>
      </c>
      <c r="L97" s="71">
        <v>0</v>
      </c>
      <c r="M97" s="116">
        <v>0</v>
      </c>
      <c r="N97" s="71">
        <v>0</v>
      </c>
      <c r="O97" s="4">
        <f>SUM(C97:N97)-12000000</f>
        <v>0</v>
      </c>
      <c r="P97" s="34">
        <f t="shared" si="31"/>
        <v>0</v>
      </c>
      <c r="Q97" s="40">
        <f t="shared" si="25"/>
        <v>12000000</v>
      </c>
      <c r="R97" s="38"/>
      <c r="S97" s="2"/>
      <c r="T97" s="2"/>
    </row>
    <row r="98" spans="1:20" ht="30" x14ac:dyDescent="0.25">
      <c r="A98" s="21" t="s">
        <v>37</v>
      </c>
      <c r="B98" s="46">
        <v>82018600</v>
      </c>
      <c r="C98" s="81">
        <v>6463000</v>
      </c>
      <c r="D98" s="81">
        <v>6463000</v>
      </c>
      <c r="E98" s="81">
        <v>6463000</v>
      </c>
      <c r="F98" s="81">
        <v>6463000</v>
      </c>
      <c r="G98" s="81">
        <v>10925600</v>
      </c>
      <c r="H98" s="81">
        <v>6463000</v>
      </c>
      <c r="I98" s="93">
        <f>+'[9]Planeación 2024 P&amp;K'!$R$69</f>
        <v>6463000</v>
      </c>
      <c r="J98" s="98">
        <f>+'[10]Planeación 2024 P&amp;K'!$T$68</f>
        <v>6463000</v>
      </c>
      <c r="K98" s="81">
        <f>+'[10]Planeación 2024 P&amp;K'!$U$68</f>
        <v>6463000</v>
      </c>
      <c r="L98" s="81">
        <v>6463000</v>
      </c>
      <c r="M98" s="116">
        <v>6463000</v>
      </c>
      <c r="N98" s="93">
        <v>6463000</v>
      </c>
      <c r="O98" s="4">
        <f t="shared" si="19"/>
        <v>82018600</v>
      </c>
      <c r="P98" s="34">
        <f t="shared" si="31"/>
        <v>0</v>
      </c>
      <c r="Q98" s="40">
        <f t="shared" si="25"/>
        <v>0</v>
      </c>
      <c r="R98" s="38"/>
      <c r="S98" s="2"/>
      <c r="T98" s="2"/>
    </row>
    <row r="99" spans="1:20" ht="30" x14ac:dyDescent="0.25">
      <c r="A99" s="21" t="s">
        <v>24</v>
      </c>
      <c r="B99" s="46">
        <f>7000000+1000000-8000000</f>
        <v>0</v>
      </c>
      <c r="C99" s="4">
        <v>0</v>
      </c>
      <c r="D99" s="4"/>
      <c r="E99" s="4"/>
      <c r="F99" s="4"/>
      <c r="G99" s="4"/>
      <c r="H99" s="4"/>
      <c r="I99" s="89">
        <f>+'[9]Planeación 2024 P&amp;K'!$R$161</f>
        <v>4000000</v>
      </c>
      <c r="J99" s="4"/>
      <c r="K99" s="4"/>
      <c r="L99" s="4"/>
      <c r="M99" s="4">
        <f>+I99</f>
        <v>4000000</v>
      </c>
      <c r="N99" s="4"/>
      <c r="O99" s="4">
        <f>SUM(C99:N99)-8000000</f>
        <v>0</v>
      </c>
      <c r="P99" s="34">
        <f t="shared" si="31"/>
        <v>0</v>
      </c>
      <c r="Q99" s="40">
        <f t="shared" si="25"/>
        <v>8000000</v>
      </c>
      <c r="R99" s="38"/>
      <c r="S99" s="2"/>
      <c r="T99" s="2"/>
    </row>
    <row r="100" spans="1:20" x14ac:dyDescent="0.25">
      <c r="A100" s="21" t="s">
        <v>25</v>
      </c>
      <c r="B100" s="46">
        <f>52971800-7971800</f>
        <v>45000000</v>
      </c>
      <c r="C100" s="81">
        <v>3789200</v>
      </c>
      <c r="D100" s="81">
        <v>3789200</v>
      </c>
      <c r="E100" s="81">
        <v>3789200</v>
      </c>
      <c r="F100" s="81">
        <v>4623000</v>
      </c>
      <c r="G100" s="81">
        <v>8789200</v>
      </c>
      <c r="H100" s="81">
        <v>3789200</v>
      </c>
      <c r="I100" s="93">
        <f>+'[9]Planeación 2024 P&amp;K'!$R$71</f>
        <v>4623000</v>
      </c>
      <c r="J100" s="98">
        <f>+'[10]Planeación 2024 P&amp;K'!$T$70</f>
        <v>3789200</v>
      </c>
      <c r="K100" s="81">
        <f>+'[10]Planeación 2024 P&amp;K'!$U$70</f>
        <v>4623000</v>
      </c>
      <c r="L100" s="81">
        <v>3789200</v>
      </c>
      <c r="M100" s="116">
        <v>3789200</v>
      </c>
      <c r="N100" s="93">
        <v>3789200</v>
      </c>
      <c r="O100" s="4">
        <f>SUM(C100:N100)-7971800</f>
        <v>45000000</v>
      </c>
      <c r="P100" s="34">
        <f t="shared" si="31"/>
        <v>0</v>
      </c>
      <c r="Q100" s="40">
        <f t="shared" si="25"/>
        <v>7971800</v>
      </c>
      <c r="R100" s="38"/>
      <c r="S100" s="2"/>
      <c r="T100" s="2"/>
    </row>
    <row r="101" spans="1:20" x14ac:dyDescent="0.25">
      <c r="A101" s="21" t="s">
        <v>179</v>
      </c>
      <c r="B101" s="46">
        <f>30000000-30000000</f>
        <v>0</v>
      </c>
      <c r="C101" s="4"/>
      <c r="D101" s="4"/>
      <c r="E101" s="4"/>
      <c r="F101" s="4"/>
      <c r="G101" s="4"/>
      <c r="H101" s="4">
        <v>10000000</v>
      </c>
      <c r="I101" s="4"/>
      <c r="J101" s="91"/>
      <c r="K101" s="4">
        <f>+'[10]Planeación 2024 P&amp;K'!$U$77+'[10]Planeación 2024 P&amp;K'!$U$164</f>
        <v>11000000</v>
      </c>
      <c r="L101" s="4"/>
      <c r="M101" s="116"/>
      <c r="N101" s="91">
        <v>0</v>
      </c>
      <c r="O101" s="4">
        <f>SUM(C101:N101)-31000000</f>
        <v>-10000000</v>
      </c>
      <c r="P101" s="34">
        <f t="shared" si="31"/>
        <v>-10000000</v>
      </c>
      <c r="Q101" s="40">
        <f t="shared" si="25"/>
        <v>31000000</v>
      </c>
      <c r="R101" s="38"/>
      <c r="S101" s="2"/>
      <c r="T101" s="2"/>
    </row>
    <row r="102" spans="1:20" x14ac:dyDescent="0.25">
      <c r="A102" s="5" t="s">
        <v>60</v>
      </c>
      <c r="B102" s="46">
        <v>45470400</v>
      </c>
      <c r="C102" s="4">
        <v>3789200</v>
      </c>
      <c r="D102" s="4">
        <v>3789200</v>
      </c>
      <c r="E102" s="4">
        <v>3789200</v>
      </c>
      <c r="F102" s="4">
        <v>3789200</v>
      </c>
      <c r="G102" s="4">
        <v>3789200</v>
      </c>
      <c r="H102" s="4">
        <v>3789200</v>
      </c>
      <c r="I102" s="91">
        <f>+'[9]Planeación 2024 P&amp;K'!$R$73</f>
        <v>3789200</v>
      </c>
      <c r="J102" s="102">
        <f>+I102</f>
        <v>3789200</v>
      </c>
      <c r="K102" s="4">
        <f>+'[10]Planeación 2024 P&amp;K'!$U$72</f>
        <v>3789200</v>
      </c>
      <c r="L102" s="4">
        <f>+K102</f>
        <v>3789200</v>
      </c>
      <c r="M102" s="116">
        <f>+L102</f>
        <v>3789200</v>
      </c>
      <c r="N102" s="91">
        <f>+M102</f>
        <v>3789200</v>
      </c>
      <c r="O102" s="4">
        <f t="shared" si="19"/>
        <v>45470400</v>
      </c>
      <c r="P102" s="34">
        <f t="shared" si="31"/>
        <v>0</v>
      </c>
      <c r="Q102" s="40">
        <f t="shared" si="25"/>
        <v>0</v>
      </c>
      <c r="R102" s="38"/>
      <c r="S102" s="2"/>
      <c r="T102" s="2"/>
    </row>
    <row r="103" spans="1:20" x14ac:dyDescent="0.25">
      <c r="A103" s="5" t="s">
        <v>26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f t="shared" si="19"/>
        <v>0</v>
      </c>
      <c r="P103" s="34">
        <f t="shared" si="31"/>
        <v>0</v>
      </c>
      <c r="Q103" s="40">
        <f t="shared" si="25"/>
        <v>0</v>
      </c>
      <c r="R103" s="38"/>
      <c r="S103" s="2"/>
      <c r="T103" s="2"/>
    </row>
    <row r="104" spans="1:20" x14ac:dyDescent="0.25">
      <c r="A104" s="5" t="s">
        <v>92</v>
      </c>
      <c r="B104" s="46">
        <v>98500718</v>
      </c>
      <c r="C104" s="4">
        <v>8208393.166666667</v>
      </c>
      <c r="D104" s="4">
        <v>8208393.166666667</v>
      </c>
      <c r="E104" s="4">
        <v>8208393.166666667</v>
      </c>
      <c r="F104" s="4">
        <v>8208393.166666667</v>
      </c>
      <c r="G104" s="4">
        <v>5867900</v>
      </c>
      <c r="H104" s="4">
        <v>5867900</v>
      </c>
      <c r="I104" s="91">
        <f>+'[9]Planeación 2024 P&amp;K'!$R$158-7000000</f>
        <v>22599618</v>
      </c>
      <c r="J104" s="97">
        <f>+'[10]Planeación 2024 P&amp;K'!$T$157+705</f>
        <v>7320005</v>
      </c>
      <c r="K104" s="4">
        <f>+'[10]Planeación 2024 P&amp;K'!$U$157</f>
        <v>5867900</v>
      </c>
      <c r="L104" s="4">
        <f t="shared" ref="L104:N105" si="32">+K104</f>
        <v>5867900</v>
      </c>
      <c r="M104" s="116">
        <f t="shared" si="32"/>
        <v>5867900</v>
      </c>
      <c r="N104" s="91">
        <v>0</v>
      </c>
      <c r="O104" s="4">
        <f>SUM(C104:N104)+540122</f>
        <v>92632817.666666672</v>
      </c>
      <c r="P104" s="34">
        <f t="shared" si="31"/>
        <v>-5867900.3333333284</v>
      </c>
      <c r="Q104" s="40">
        <f t="shared" si="25"/>
        <v>-540122</v>
      </c>
      <c r="R104" s="38"/>
      <c r="S104" s="2"/>
      <c r="T104" s="2"/>
    </row>
    <row r="105" spans="1:20" x14ac:dyDescent="0.25">
      <c r="A105" s="5" t="s">
        <v>73</v>
      </c>
      <c r="B105" s="46">
        <v>6000000</v>
      </c>
      <c r="C105" s="4">
        <v>500000</v>
      </c>
      <c r="D105" s="4">
        <v>500000</v>
      </c>
      <c r="E105" s="4">
        <v>500000</v>
      </c>
      <c r="F105" s="4">
        <v>500000</v>
      </c>
      <c r="G105" s="4">
        <v>0</v>
      </c>
      <c r="H105" s="4">
        <v>500000</v>
      </c>
      <c r="I105" s="91">
        <f>+'[9]Planeación 2024 P&amp;K'!$R$74</f>
        <v>500000</v>
      </c>
      <c r="J105" s="97">
        <f>+'[10]Planeación 2024 P&amp;K'!$T$73</f>
        <v>500000</v>
      </c>
      <c r="K105" s="4">
        <f>+'[10]Planeación 2024 P&amp;K'!$U$73</f>
        <v>500000</v>
      </c>
      <c r="L105" s="4">
        <f t="shared" si="32"/>
        <v>500000</v>
      </c>
      <c r="M105" s="116">
        <f t="shared" si="32"/>
        <v>500000</v>
      </c>
      <c r="N105" s="91">
        <f t="shared" si="32"/>
        <v>500000</v>
      </c>
      <c r="O105" s="4">
        <f>SUM(C105:N105)+500000</f>
        <v>6000000</v>
      </c>
      <c r="P105" s="34">
        <f t="shared" si="31"/>
        <v>0</v>
      </c>
      <c r="Q105" s="40">
        <f t="shared" si="25"/>
        <v>-500000</v>
      </c>
      <c r="R105" s="38"/>
      <c r="S105" s="2"/>
      <c r="T105" s="2"/>
    </row>
    <row r="106" spans="1:20" x14ac:dyDescent="0.25">
      <c r="A106" s="5" t="s">
        <v>27</v>
      </c>
      <c r="B106" s="46">
        <v>3270000</v>
      </c>
      <c r="C106" s="81">
        <v>1090000</v>
      </c>
      <c r="D106" s="81">
        <v>0</v>
      </c>
      <c r="E106" s="81">
        <v>0</v>
      </c>
      <c r="F106" s="81">
        <v>0</v>
      </c>
      <c r="G106" s="81">
        <v>500000</v>
      </c>
      <c r="H106" s="81">
        <v>1090000</v>
      </c>
      <c r="I106" s="70">
        <v>0</v>
      </c>
      <c r="J106" s="93">
        <v>0</v>
      </c>
      <c r="K106" s="70">
        <v>0</v>
      </c>
      <c r="L106" s="81">
        <v>1090000</v>
      </c>
      <c r="M106" s="116">
        <v>0</v>
      </c>
      <c r="N106" s="70">
        <v>0</v>
      </c>
      <c r="O106" s="4">
        <f>SUM(C106:N106)-500000</f>
        <v>3270000</v>
      </c>
      <c r="P106" s="34">
        <f t="shared" si="31"/>
        <v>0</v>
      </c>
      <c r="Q106" s="40">
        <f t="shared" si="25"/>
        <v>500000</v>
      </c>
      <c r="R106" s="38"/>
      <c r="S106" s="2"/>
      <c r="T106" s="2"/>
    </row>
    <row r="107" spans="1:20" x14ac:dyDescent="0.25">
      <c r="A107" s="5" t="s">
        <v>74</v>
      </c>
      <c r="B107" s="46">
        <f>27000000</f>
        <v>27000000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93">
        <f>+'[9]Planeación 2024 P&amp;K'!$R$72</f>
        <v>3500000</v>
      </c>
      <c r="J107" s="98">
        <f>+'[10]Planeación 2024 P&amp;K'!$T$71</f>
        <v>3500000</v>
      </c>
      <c r="K107" s="81">
        <f>+'[10]Planeación 2024 P&amp;K'!$U$71</f>
        <v>3500000</v>
      </c>
      <c r="L107" s="81">
        <f>+'[10]Planeación 2024 P&amp;K'!$V$71</f>
        <v>3500000</v>
      </c>
      <c r="M107" s="116">
        <v>3000000</v>
      </c>
      <c r="N107" s="93">
        <v>3000000</v>
      </c>
      <c r="O107" s="4">
        <f>SUM(C107:N107)+7000000</f>
        <v>27000000</v>
      </c>
      <c r="P107" s="34">
        <f t="shared" si="31"/>
        <v>0</v>
      </c>
      <c r="Q107" s="40">
        <f t="shared" si="25"/>
        <v>-7000000</v>
      </c>
      <c r="R107" s="38"/>
      <c r="S107" s="2"/>
      <c r="T107" s="2"/>
    </row>
    <row r="108" spans="1:20" x14ac:dyDescent="0.25">
      <c r="A108" s="5" t="s">
        <v>28</v>
      </c>
      <c r="B108" s="46">
        <v>10064000</v>
      </c>
      <c r="C108" s="4">
        <v>0</v>
      </c>
      <c r="D108" s="4"/>
      <c r="E108" s="4"/>
      <c r="F108" s="4"/>
      <c r="G108" s="4"/>
      <c r="H108" s="4"/>
      <c r="I108" s="4"/>
      <c r="J108" s="91"/>
      <c r="K108" s="4"/>
      <c r="L108" s="4">
        <v>10064000</v>
      </c>
      <c r="M108" s="116"/>
      <c r="N108" s="4"/>
      <c r="O108" s="4">
        <f t="shared" si="19"/>
        <v>10064000</v>
      </c>
      <c r="P108" s="34">
        <f t="shared" si="31"/>
        <v>0</v>
      </c>
      <c r="Q108" s="40">
        <f t="shared" si="25"/>
        <v>0</v>
      </c>
      <c r="R108" s="38"/>
      <c r="S108" s="2"/>
      <c r="T108" s="2"/>
    </row>
    <row r="109" spans="1:20" x14ac:dyDescent="0.25">
      <c r="A109" s="5" t="s">
        <v>29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>
        <f t="shared" si="19"/>
        <v>0</v>
      </c>
      <c r="P109" s="34">
        <f t="shared" si="31"/>
        <v>0</v>
      </c>
      <c r="Q109" s="40">
        <f t="shared" si="25"/>
        <v>0</v>
      </c>
      <c r="R109" s="38"/>
      <c r="S109" s="2"/>
      <c r="T109" s="2"/>
    </row>
    <row r="110" spans="1:20" x14ac:dyDescent="0.25">
      <c r="A110" s="5" t="s">
        <v>182</v>
      </c>
      <c r="B110" s="46">
        <v>36000000</v>
      </c>
      <c r="C110" s="81">
        <v>0</v>
      </c>
      <c r="D110" s="81">
        <v>0</v>
      </c>
      <c r="E110" s="81">
        <v>3500000</v>
      </c>
      <c r="F110" s="81">
        <v>3500000</v>
      </c>
      <c r="G110" s="81">
        <v>5500000</v>
      </c>
      <c r="H110" s="81">
        <v>0</v>
      </c>
      <c r="I110" s="93">
        <f>+'[9]Planeación 2024 P&amp;K'!$R$70</f>
        <v>4000000</v>
      </c>
      <c r="J110" s="93">
        <v>0</v>
      </c>
      <c r="K110" s="70">
        <f>+'[10]Planeación 2024 P&amp;K'!$U$69</f>
        <v>0</v>
      </c>
      <c r="L110" s="70">
        <v>0</v>
      </c>
      <c r="M110" s="116">
        <v>3500000</v>
      </c>
      <c r="N110" s="93">
        <v>3500000</v>
      </c>
      <c r="O110" s="4">
        <f>SUM(C110:N110)+12500000</f>
        <v>36000000</v>
      </c>
      <c r="P110" s="34">
        <f t="shared" si="31"/>
        <v>0</v>
      </c>
      <c r="Q110" s="40">
        <f t="shared" si="25"/>
        <v>-12500000</v>
      </c>
      <c r="R110" s="38"/>
      <c r="S110" s="2"/>
      <c r="T110" s="2"/>
    </row>
    <row r="111" spans="1:20" x14ac:dyDescent="0.25">
      <c r="A111" s="21" t="s">
        <v>149</v>
      </c>
      <c r="B111" s="46">
        <v>22036000</v>
      </c>
      <c r="C111" s="4"/>
      <c r="D111" s="4"/>
      <c r="E111" s="4"/>
      <c r="F111" s="4">
        <v>1150000</v>
      </c>
      <c r="G111" s="4">
        <v>1150000</v>
      </c>
      <c r="H111" s="4"/>
      <c r="I111" s="4"/>
      <c r="J111" s="97">
        <f>+'[10]Planeación 2024 P&amp;K'!$T$79</f>
        <v>1150000</v>
      </c>
      <c r="K111" s="4"/>
      <c r="L111" s="4"/>
      <c r="M111" s="116">
        <v>9293000</v>
      </c>
      <c r="N111" s="91">
        <v>0</v>
      </c>
      <c r="O111" s="4">
        <f>SUM(C111:N111)-1150000</f>
        <v>11593000</v>
      </c>
      <c r="P111" s="34">
        <f t="shared" si="31"/>
        <v>-10443000</v>
      </c>
      <c r="Q111" s="40">
        <f t="shared" si="25"/>
        <v>1150000</v>
      </c>
      <c r="R111" s="38"/>
      <c r="S111" s="2"/>
      <c r="T111" s="2"/>
    </row>
    <row r="112" spans="1:20" x14ac:dyDescent="0.25">
      <c r="A112" s="5" t="s">
        <v>82</v>
      </c>
      <c r="B112" s="46">
        <f>27264000+2000000-6000000</f>
        <v>23264000</v>
      </c>
      <c r="C112" s="4">
        <v>0</v>
      </c>
      <c r="D112" s="4">
        <v>2044000</v>
      </c>
      <c r="E112" s="4">
        <v>5000000</v>
      </c>
      <c r="F112" s="4">
        <v>2044000</v>
      </c>
      <c r="G112" s="4">
        <v>2044000</v>
      </c>
      <c r="H112" s="4">
        <v>6000000</v>
      </c>
      <c r="I112" s="91">
        <f>+'[9]Planeación 2024 P&amp;K'!$R$51</f>
        <v>2044000</v>
      </c>
      <c r="J112" s="91">
        <v>0</v>
      </c>
      <c r="K112" s="4">
        <f>+'[10]Planeación 2024 P&amp;K'!$U$50</f>
        <v>2044000</v>
      </c>
      <c r="L112" s="4">
        <f>+'[10]Planeación 2024 P&amp;K'!$V$89</f>
        <v>5000000</v>
      </c>
      <c r="M112" s="116">
        <f>+[11]Resumennna!Y326</f>
        <v>0</v>
      </c>
      <c r="N112" s="91">
        <v>2044000</v>
      </c>
      <c r="O112" s="4">
        <f>SUM(C112:N112)-5000000</f>
        <v>23264000</v>
      </c>
      <c r="P112" s="34">
        <f t="shared" si="31"/>
        <v>0</v>
      </c>
      <c r="Q112" s="40">
        <f t="shared" si="25"/>
        <v>5000000</v>
      </c>
      <c r="R112" s="38"/>
      <c r="S112" s="2"/>
      <c r="T112" s="2"/>
    </row>
    <row r="113" spans="1:20" x14ac:dyDescent="0.25">
      <c r="A113" s="5" t="s">
        <v>81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>
        <f t="shared" si="19"/>
        <v>0</v>
      </c>
      <c r="P113" s="34">
        <f t="shared" si="31"/>
        <v>0</v>
      </c>
      <c r="Q113" s="40">
        <f t="shared" si="25"/>
        <v>0</v>
      </c>
      <c r="R113" s="38"/>
      <c r="S113" s="2"/>
      <c r="T113" s="2"/>
    </row>
    <row r="114" spans="1:20" x14ac:dyDescent="0.25">
      <c r="A114" s="66" t="s">
        <v>93</v>
      </c>
      <c r="B114" s="46">
        <f>18000000-3000000</f>
        <v>15000000</v>
      </c>
      <c r="C114" s="4">
        <v>1500000</v>
      </c>
      <c r="D114" s="4">
        <v>1500000</v>
      </c>
      <c r="E114" s="4">
        <v>1200000</v>
      </c>
      <c r="F114" s="4">
        <v>1200000</v>
      </c>
      <c r="G114" s="4">
        <v>1250000</v>
      </c>
      <c r="H114" s="4">
        <v>1250000</v>
      </c>
      <c r="I114" s="91">
        <f>+'[9]Planeación 2024 P&amp;K'!$R$156</f>
        <v>1250000</v>
      </c>
      <c r="J114" s="102">
        <f>+'[10]Planeación 2024 P&amp;K'!$T$155</f>
        <v>1250000</v>
      </c>
      <c r="K114" s="4">
        <f>+'[10]Planeación 2024 P&amp;K'!$U$155</f>
        <v>1250000</v>
      </c>
      <c r="L114" s="4">
        <f>+K114</f>
        <v>1250000</v>
      </c>
      <c r="M114" s="116">
        <f>+L114</f>
        <v>1250000</v>
      </c>
      <c r="N114" s="91">
        <f>+M114</f>
        <v>1250000</v>
      </c>
      <c r="O114" s="4">
        <f>SUM(C114:N114)-400000</f>
        <v>15000000</v>
      </c>
      <c r="P114" s="34">
        <f t="shared" si="31"/>
        <v>0</v>
      </c>
      <c r="Q114" s="40">
        <f t="shared" si="25"/>
        <v>400000</v>
      </c>
      <c r="R114" s="38"/>
      <c r="S114" s="2"/>
      <c r="T114" s="2"/>
    </row>
    <row r="115" spans="1:20" x14ac:dyDescent="0.25">
      <c r="A115" s="5" t="s">
        <v>78</v>
      </c>
      <c r="B115" s="46">
        <v>3000000</v>
      </c>
      <c r="C115" s="4">
        <v>250000</v>
      </c>
      <c r="D115" s="4">
        <v>250000</v>
      </c>
      <c r="E115" s="4">
        <v>250000</v>
      </c>
      <c r="F115" s="4">
        <v>250000</v>
      </c>
      <c r="G115" s="4">
        <v>250000</v>
      </c>
      <c r="H115" s="4">
        <v>250000</v>
      </c>
      <c r="I115" s="91">
        <f t="shared" ref="I115:N115" si="33">+H115</f>
        <v>250000</v>
      </c>
      <c r="J115" s="97">
        <f>+'[10]Planeación 2024 P&amp;K'!$U$51</f>
        <v>250000</v>
      </c>
      <c r="K115" s="4">
        <f>+'[10]Planeación 2024 P&amp;K'!$U$51</f>
        <v>250000</v>
      </c>
      <c r="L115" s="4">
        <f t="shared" si="33"/>
        <v>250000</v>
      </c>
      <c r="M115" s="116">
        <f t="shared" si="33"/>
        <v>250000</v>
      </c>
      <c r="N115" s="91">
        <f t="shared" si="33"/>
        <v>250000</v>
      </c>
      <c r="O115" s="4">
        <f t="shared" si="19"/>
        <v>3000000</v>
      </c>
      <c r="P115" s="34">
        <f t="shared" si="31"/>
        <v>0</v>
      </c>
      <c r="Q115" s="40">
        <f t="shared" si="25"/>
        <v>0</v>
      </c>
      <c r="R115" s="38"/>
      <c r="S115" s="2"/>
      <c r="T115" s="2"/>
    </row>
    <row r="116" spans="1:20" ht="24" x14ac:dyDescent="0.25">
      <c r="A116" s="59" t="s">
        <v>147</v>
      </c>
      <c r="B116" s="46">
        <f>80000000-4000000</f>
        <v>76000000</v>
      </c>
      <c r="C116" s="4"/>
      <c r="D116" s="4"/>
      <c r="E116" s="4">
        <v>4000000</v>
      </c>
      <c r="F116" s="4">
        <v>8000000</v>
      </c>
      <c r="G116" s="4">
        <v>20000000</v>
      </c>
      <c r="H116" s="4">
        <v>8000000</v>
      </c>
      <c r="I116" s="91">
        <f>+'[9]Planeación 2024 P&amp;K'!$R$56</f>
        <v>8000000</v>
      </c>
      <c r="J116" s="97">
        <f>+'[10]Planeación 2024 P&amp;K'!$T$55</f>
        <v>8000000</v>
      </c>
      <c r="K116" s="4">
        <f>+'[10]Planeación 2024 P&amp;K'!$U$55</f>
        <v>8000000</v>
      </c>
      <c r="L116" s="4">
        <f>8000000</f>
        <v>8000000</v>
      </c>
      <c r="M116" s="116">
        <f>8000000</f>
        <v>8000000</v>
      </c>
      <c r="N116" s="91">
        <v>0</v>
      </c>
      <c r="O116" s="4">
        <f>SUM(C116:N116)-12000000</f>
        <v>68000000</v>
      </c>
      <c r="P116" s="34">
        <f t="shared" si="31"/>
        <v>-8000000</v>
      </c>
      <c r="Q116" s="40">
        <f t="shared" si="25"/>
        <v>12000000</v>
      </c>
      <c r="R116" s="38"/>
      <c r="S116" s="2"/>
      <c r="T116" s="2"/>
    </row>
    <row r="117" spans="1:20" ht="24" x14ac:dyDescent="0.25">
      <c r="A117" s="59" t="s">
        <v>148</v>
      </c>
      <c r="B117" s="46">
        <f>19000000-5000000</f>
        <v>14000000</v>
      </c>
      <c r="C117" s="4"/>
      <c r="D117" s="4"/>
      <c r="E117" s="4"/>
      <c r="F117" s="4"/>
      <c r="G117" s="4">
        <v>7000000</v>
      </c>
      <c r="H117" s="4"/>
      <c r="I117" s="4">
        <v>0</v>
      </c>
      <c r="J117" s="91"/>
      <c r="K117" s="4"/>
      <c r="L117" s="4">
        <f>+'[10]Planeación 2024 P&amp;K'!$V$56</f>
        <v>7000000</v>
      </c>
      <c r="M117" s="116"/>
      <c r="N117" s="4"/>
      <c r="O117" s="4">
        <f t="shared" si="19"/>
        <v>14000000</v>
      </c>
      <c r="P117" s="34">
        <f t="shared" si="31"/>
        <v>0</v>
      </c>
      <c r="Q117" s="40">
        <f t="shared" si="25"/>
        <v>0</v>
      </c>
      <c r="R117" s="38"/>
      <c r="S117" s="2"/>
      <c r="T117" s="2"/>
    </row>
    <row r="118" spans="1:20" x14ac:dyDescent="0.25">
      <c r="A118" s="78" t="s">
        <v>169</v>
      </c>
      <c r="B118" s="46">
        <f>191160000-47790000-63370000</f>
        <v>80000000</v>
      </c>
      <c r="C118" s="4">
        <v>15930000</v>
      </c>
      <c r="D118" s="4">
        <v>15930000</v>
      </c>
      <c r="E118" s="4">
        <v>0</v>
      </c>
      <c r="F118" s="4">
        <v>0</v>
      </c>
      <c r="G118" s="4">
        <v>0</v>
      </c>
      <c r="H118" s="4">
        <v>15930000</v>
      </c>
      <c r="I118" s="91">
        <f>+'[9]Planeación 2024 P&amp;K'!$R$157</f>
        <v>15930000</v>
      </c>
      <c r="J118" s="102">
        <f>+'[10]Planeación 2024 P&amp;K'!$T$156</f>
        <v>15930000</v>
      </c>
      <c r="K118" s="4">
        <f>+'[10]Planeación 2024 P&amp;K'!$U$156</f>
        <v>15930000</v>
      </c>
      <c r="L118" s="4">
        <f>+K118</f>
        <v>15930000</v>
      </c>
      <c r="M118" s="116">
        <f>+L118</f>
        <v>15930000</v>
      </c>
      <c r="N118" s="91">
        <v>0</v>
      </c>
      <c r="O118" s="4">
        <f>SUM(C118:N118)-63370000</f>
        <v>64070000</v>
      </c>
      <c r="P118" s="34">
        <f t="shared" si="31"/>
        <v>-15930000</v>
      </c>
      <c r="Q118" s="40">
        <f t="shared" si="25"/>
        <v>63370000</v>
      </c>
      <c r="R118" s="38"/>
      <c r="S118" s="2"/>
      <c r="T118" s="2"/>
    </row>
    <row r="119" spans="1:20" x14ac:dyDescent="0.25">
      <c r="A119" s="21" t="s">
        <v>186</v>
      </c>
      <c r="B119" s="46">
        <f>12500000-2500000</f>
        <v>10000000</v>
      </c>
      <c r="C119" s="4">
        <v>7000000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97">
        <f>+'[10]Planeación 2024 P&amp;K'!$T$88</f>
        <v>2680000</v>
      </c>
      <c r="K119" s="4">
        <f>+[11]Resumennna!W342</f>
        <v>0</v>
      </c>
      <c r="L119" s="4">
        <f>+[11]Resumennna!X342</f>
        <v>0</v>
      </c>
      <c r="M119" s="116">
        <f>+[11]Resumennna!Y342</f>
        <v>0</v>
      </c>
      <c r="N119" s="4">
        <f>+[11]Resumennna!Z342</f>
        <v>0</v>
      </c>
      <c r="O119" s="4">
        <f>SUM(C119:N119)+320000</f>
        <v>10000000</v>
      </c>
      <c r="P119" s="34">
        <f t="shared" si="31"/>
        <v>0</v>
      </c>
      <c r="Q119" s="40">
        <f t="shared" si="25"/>
        <v>-320000</v>
      </c>
      <c r="R119" s="38"/>
      <c r="S119" s="2"/>
      <c r="T119" s="2"/>
    </row>
    <row r="120" spans="1:20" x14ac:dyDescent="0.25">
      <c r="A120" s="78" t="s">
        <v>70</v>
      </c>
      <c r="B120" s="46">
        <f>72000000+17520000</f>
        <v>89520000</v>
      </c>
      <c r="C120" s="4">
        <v>6000000</v>
      </c>
      <c r="D120" s="4">
        <v>6000000</v>
      </c>
      <c r="E120" s="4">
        <v>7752000</v>
      </c>
      <c r="F120" s="4">
        <v>7752000</v>
      </c>
      <c r="G120" s="4">
        <v>6820000</v>
      </c>
      <c r="H120" s="4">
        <v>6820000</v>
      </c>
      <c r="I120" s="91">
        <f>+'[9]Planeación 2024 P&amp;K'!$R$163</f>
        <v>6820000</v>
      </c>
      <c r="J120" s="102">
        <f>+'[10]Planeación 2024 P&amp;K'!$T$162</f>
        <v>6820000</v>
      </c>
      <c r="K120" s="4">
        <f>+'[10]Planeación 2024 P&amp;K'!$U$162</f>
        <v>6820000</v>
      </c>
      <c r="L120" s="4">
        <f>+K120</f>
        <v>6820000</v>
      </c>
      <c r="M120" s="116">
        <f>+L120</f>
        <v>6820000</v>
      </c>
      <c r="N120" s="91">
        <f>+M120</f>
        <v>6820000</v>
      </c>
      <c r="O120" s="4">
        <f>SUM(C120:N120)+7456000</f>
        <v>89520000</v>
      </c>
      <c r="P120" s="34">
        <f t="shared" si="31"/>
        <v>0</v>
      </c>
      <c r="Q120" s="40">
        <f t="shared" si="25"/>
        <v>-7456000</v>
      </c>
      <c r="R120" s="38"/>
      <c r="S120" s="2"/>
      <c r="T120" s="2"/>
    </row>
    <row r="121" spans="1:20" x14ac:dyDescent="0.2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>
        <f t="shared" si="19"/>
        <v>0</v>
      </c>
      <c r="P121" s="34">
        <f t="shared" si="31"/>
        <v>0</v>
      </c>
      <c r="Q121" s="40">
        <f t="shared" si="25"/>
        <v>0</v>
      </c>
      <c r="R121" s="38"/>
      <c r="S121" s="2"/>
      <c r="T121" s="2"/>
    </row>
    <row r="122" spans="1:20" x14ac:dyDescent="0.25">
      <c r="A122" s="21" t="s">
        <v>170</v>
      </c>
      <c r="B122" s="46">
        <v>30000000</v>
      </c>
      <c r="C122" s="4"/>
      <c r="D122" s="4"/>
      <c r="E122" s="4"/>
      <c r="F122" s="68">
        <v>10000000</v>
      </c>
      <c r="G122" s="68">
        <v>0</v>
      </c>
      <c r="H122" s="68">
        <v>20000000</v>
      </c>
      <c r="I122" s="68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4">
        <f t="shared" si="19"/>
        <v>30000000</v>
      </c>
      <c r="P122" s="34">
        <f t="shared" si="31"/>
        <v>0</v>
      </c>
      <c r="Q122" s="40">
        <f t="shared" si="25"/>
        <v>0</v>
      </c>
      <c r="R122" s="38"/>
      <c r="S122" s="2"/>
      <c r="T122" s="2"/>
    </row>
    <row r="123" spans="1:20" x14ac:dyDescent="0.25">
      <c r="A123" s="21" t="s">
        <v>171</v>
      </c>
      <c r="B123" s="46">
        <f>24000000-9000000</f>
        <v>15000000</v>
      </c>
      <c r="C123" s="4"/>
      <c r="D123" s="4"/>
      <c r="E123" s="68">
        <v>0</v>
      </c>
      <c r="F123" s="68">
        <v>7500000</v>
      </c>
      <c r="G123" s="68">
        <v>0</v>
      </c>
      <c r="H123" s="68">
        <v>0</v>
      </c>
      <c r="I123" s="68">
        <v>0</v>
      </c>
      <c r="J123" s="67">
        <v>0</v>
      </c>
      <c r="K123" s="67">
        <v>0</v>
      </c>
      <c r="L123" s="67">
        <v>0</v>
      </c>
      <c r="M123" s="116">
        <f>+F123</f>
        <v>7500000</v>
      </c>
      <c r="N123" s="67">
        <v>0</v>
      </c>
      <c r="O123" s="4">
        <f t="shared" si="19"/>
        <v>15000000</v>
      </c>
      <c r="P123" s="34">
        <f t="shared" si="31"/>
        <v>0</v>
      </c>
      <c r="Q123" s="40">
        <f t="shared" si="25"/>
        <v>0</v>
      </c>
      <c r="R123" s="38"/>
      <c r="S123" s="2"/>
      <c r="T123" s="2"/>
    </row>
    <row r="124" spans="1:20" x14ac:dyDescent="0.25">
      <c r="A124" s="21" t="s">
        <v>172</v>
      </c>
      <c r="B124" s="46">
        <f>10000000-4500000</f>
        <v>5500000</v>
      </c>
      <c r="C124" s="4"/>
      <c r="D124" s="4"/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7">
        <v>0</v>
      </c>
      <c r="K124" s="68">
        <f>+'[10]Planeación 2024 P&amp;K'!$U$181</f>
        <v>2500000</v>
      </c>
      <c r="L124" s="67">
        <v>0</v>
      </c>
      <c r="M124" s="67">
        <v>0</v>
      </c>
      <c r="N124" s="92">
        <v>0</v>
      </c>
      <c r="O124" s="4">
        <f>SUM(C124:N124)-2500000</f>
        <v>0</v>
      </c>
      <c r="P124" s="34">
        <f t="shared" si="31"/>
        <v>-5500000</v>
      </c>
      <c r="Q124" s="40">
        <f t="shared" si="25"/>
        <v>2500000</v>
      </c>
      <c r="R124" s="38"/>
      <c r="S124" s="2"/>
      <c r="T124" s="2"/>
    </row>
    <row r="125" spans="1:20" x14ac:dyDescent="0.25">
      <c r="A125" s="21" t="s">
        <v>173</v>
      </c>
      <c r="B125" s="46">
        <v>10000000</v>
      </c>
      <c r="C125" s="4"/>
      <c r="D125" s="4"/>
      <c r="E125" s="4"/>
      <c r="F125" s="4"/>
      <c r="G125" s="68">
        <v>10000000</v>
      </c>
      <c r="H125" s="68">
        <v>0</v>
      </c>
      <c r="I125" s="68">
        <v>0</v>
      </c>
      <c r="J125" s="4"/>
      <c r="K125" s="4"/>
      <c r="L125" s="4"/>
      <c r="M125" s="4"/>
      <c r="N125" s="4"/>
      <c r="O125" s="4">
        <f t="shared" si="19"/>
        <v>10000000</v>
      </c>
      <c r="P125" s="34">
        <f t="shared" si="31"/>
        <v>0</v>
      </c>
      <c r="Q125" s="40">
        <f t="shared" si="25"/>
        <v>0</v>
      </c>
      <c r="R125" s="38"/>
      <c r="S125" s="2"/>
      <c r="T125" s="2"/>
    </row>
    <row r="126" spans="1:20" x14ac:dyDescent="0.25">
      <c r="A126" s="21" t="s">
        <v>174</v>
      </c>
      <c r="B126" s="46">
        <v>10000000</v>
      </c>
      <c r="C126" s="4"/>
      <c r="D126" s="4"/>
      <c r="E126" s="4"/>
      <c r="F126" s="4"/>
      <c r="G126" s="68">
        <v>10000000</v>
      </c>
      <c r="H126" s="68">
        <v>0</v>
      </c>
      <c r="I126" s="68">
        <v>0</v>
      </c>
      <c r="J126" s="4"/>
      <c r="K126" s="4"/>
      <c r="L126" s="4"/>
      <c r="M126" s="4"/>
      <c r="N126" s="4"/>
      <c r="O126" s="4">
        <f t="shared" si="19"/>
        <v>10000000</v>
      </c>
      <c r="P126" s="34">
        <f t="shared" si="31"/>
        <v>0</v>
      </c>
      <c r="Q126" s="40">
        <f t="shared" si="25"/>
        <v>0</v>
      </c>
      <c r="R126" s="38"/>
      <c r="S126" s="2"/>
      <c r="T126" s="2"/>
    </row>
    <row r="127" spans="1:20" x14ac:dyDescent="0.25">
      <c r="A127" s="21" t="s">
        <v>175</v>
      </c>
      <c r="B127" s="46">
        <v>10000000</v>
      </c>
      <c r="C127" s="4"/>
      <c r="D127" s="4"/>
      <c r="E127" s="4"/>
      <c r="F127" s="4"/>
      <c r="G127" s="68">
        <v>10000000</v>
      </c>
      <c r="H127" s="68">
        <v>0</v>
      </c>
      <c r="I127" s="68">
        <v>0</v>
      </c>
      <c r="J127" s="4"/>
      <c r="K127" s="4"/>
      <c r="L127" s="4"/>
      <c r="M127" s="4"/>
      <c r="N127" s="4"/>
      <c r="O127" s="4">
        <f t="shared" si="19"/>
        <v>10000000</v>
      </c>
      <c r="P127" s="34">
        <f t="shared" si="31"/>
        <v>0</v>
      </c>
      <c r="Q127" s="40">
        <f t="shared" si="25"/>
        <v>0</v>
      </c>
      <c r="R127" s="38"/>
      <c r="S127" s="2"/>
      <c r="T127" s="2"/>
    </row>
    <row r="128" spans="1:20" x14ac:dyDescent="0.25">
      <c r="A128" s="21" t="s">
        <v>176</v>
      </c>
      <c r="B128" s="46">
        <f>20000000-10000000-10000000</f>
        <v>0</v>
      </c>
      <c r="C128" s="4"/>
      <c r="D128" s="4"/>
      <c r="E128" s="4"/>
      <c r="F128" s="4"/>
      <c r="G128" s="68">
        <v>0</v>
      </c>
      <c r="H128" s="68">
        <v>0</v>
      </c>
      <c r="I128" s="92">
        <v>10000000</v>
      </c>
      <c r="J128" s="4"/>
      <c r="K128" s="4"/>
      <c r="L128" s="4"/>
      <c r="M128" s="4"/>
      <c r="N128" s="92">
        <v>0</v>
      </c>
      <c r="O128" s="4">
        <f>SUM(C128:N128)-20000000</f>
        <v>-10000000</v>
      </c>
      <c r="P128" s="34">
        <f t="shared" si="31"/>
        <v>-10000000</v>
      </c>
      <c r="Q128" s="40">
        <f t="shared" si="25"/>
        <v>20000000</v>
      </c>
      <c r="R128" s="38"/>
      <c r="S128" s="2"/>
      <c r="T128" s="2"/>
    </row>
    <row r="129" spans="1:22" ht="30" x14ac:dyDescent="0.25">
      <c r="A129" s="21" t="s">
        <v>177</v>
      </c>
      <c r="B129" s="4">
        <v>1500000000</v>
      </c>
      <c r="C129" s="4"/>
      <c r="D129" s="4"/>
      <c r="E129" s="4"/>
      <c r="F129" s="4"/>
      <c r="G129" s="4"/>
      <c r="H129" s="4"/>
      <c r="I129" s="4"/>
      <c r="J129" s="4"/>
      <c r="K129" s="68">
        <f>+'[10]Planeación 2024 P&amp;K'!$U$186</f>
        <v>1500000000</v>
      </c>
      <c r="L129" s="4"/>
      <c r="M129" s="4"/>
      <c r="N129" s="4"/>
      <c r="O129" s="4">
        <f t="shared" si="19"/>
        <v>1500000000</v>
      </c>
      <c r="P129" s="34">
        <f t="shared" si="31"/>
        <v>0</v>
      </c>
      <c r="Q129" s="40">
        <f t="shared" si="25"/>
        <v>0</v>
      </c>
      <c r="R129" s="38"/>
      <c r="S129" s="2"/>
      <c r="T129" s="2"/>
    </row>
    <row r="130" spans="1:22" ht="30" x14ac:dyDescent="0.25">
      <c r="A130" s="21" t="s">
        <v>178</v>
      </c>
      <c r="B130" s="4">
        <f>9000000-9000000</f>
        <v>0</v>
      </c>
      <c r="C130" s="4"/>
      <c r="D130" s="4">
        <v>6000000</v>
      </c>
      <c r="E130" s="4"/>
      <c r="F130" s="4"/>
      <c r="G130" s="4">
        <v>6000000</v>
      </c>
      <c r="H130" s="4"/>
      <c r="I130" s="4"/>
      <c r="J130" s="4"/>
      <c r="K130" s="4">
        <f>+'[10]Planeación 2024 P&amp;K'!$U$187</f>
        <v>3000000</v>
      </c>
      <c r="L130" s="4"/>
      <c r="M130" s="4"/>
      <c r="N130" s="4"/>
      <c r="O130" s="4">
        <f>SUM(C130:N130)-15000000</f>
        <v>0</v>
      </c>
      <c r="P130" s="34">
        <f t="shared" si="31"/>
        <v>0</v>
      </c>
      <c r="Q130" s="40">
        <f t="shared" si="25"/>
        <v>15000000</v>
      </c>
      <c r="R130" s="38"/>
      <c r="S130" s="2"/>
      <c r="T130" s="2"/>
    </row>
    <row r="131" spans="1:22" x14ac:dyDescent="0.25">
      <c r="A131" s="21" t="s">
        <v>33</v>
      </c>
      <c r="B131" s="46">
        <v>9825000</v>
      </c>
      <c r="C131" s="4">
        <v>0</v>
      </c>
      <c r="D131" s="4">
        <v>0</v>
      </c>
      <c r="E131" s="4">
        <v>982500</v>
      </c>
      <c r="F131" s="4">
        <v>982500</v>
      </c>
      <c r="G131" s="4">
        <v>1091500</v>
      </c>
      <c r="H131" s="4">
        <v>1091500</v>
      </c>
      <c r="I131" s="95">
        <f t="shared" ref="I131:N131" si="34">+H131</f>
        <v>1091500</v>
      </c>
      <c r="J131" s="97">
        <f>+'[10]Planeación 2024 P&amp;K'!$T$52</f>
        <v>1091500</v>
      </c>
      <c r="K131" s="4">
        <f>+'[10]Planeación 2024 P&amp;K'!$U$52</f>
        <v>1091500</v>
      </c>
      <c r="L131" s="4">
        <f t="shared" si="34"/>
        <v>1091500</v>
      </c>
      <c r="M131" s="116">
        <f t="shared" si="34"/>
        <v>1091500</v>
      </c>
      <c r="N131" s="91">
        <f t="shared" si="34"/>
        <v>1091500</v>
      </c>
      <c r="O131" s="4">
        <f>SUM(C131:N131)-872000</f>
        <v>9825000</v>
      </c>
      <c r="P131" s="34">
        <f t="shared" si="31"/>
        <v>0</v>
      </c>
      <c r="Q131" s="40">
        <f t="shared" si="25"/>
        <v>872000</v>
      </c>
      <c r="R131" s="38"/>
      <c r="S131" s="2"/>
      <c r="T131" s="2"/>
    </row>
    <row r="132" spans="1:22" x14ac:dyDescent="0.25">
      <c r="A132" s="78" t="s">
        <v>75</v>
      </c>
      <c r="B132" s="4">
        <f>16000000-400000-2000000-13600000</f>
        <v>0</v>
      </c>
      <c r="C132" s="4">
        <v>0</v>
      </c>
      <c r="D132" s="4">
        <v>0</v>
      </c>
      <c r="E132" s="4">
        <v>0</v>
      </c>
      <c r="F132" s="4">
        <v>0</v>
      </c>
      <c r="G132" s="68">
        <v>0</v>
      </c>
      <c r="H132" s="68">
        <v>0</v>
      </c>
      <c r="I132" s="90">
        <f>+'[9]Planeación 2024 P&amp;K'!$R$162</f>
        <v>2600000</v>
      </c>
      <c r="J132" s="99">
        <f>+'[10]Planeación 2024 P&amp;K'!$T$161</f>
        <v>2600000</v>
      </c>
      <c r="K132" s="68">
        <f>+'[10]Planeación 2024 P&amp;K'!$T$161</f>
        <v>2600000</v>
      </c>
      <c r="L132" s="92">
        <v>2600000</v>
      </c>
      <c r="M132" s="67">
        <v>2000000</v>
      </c>
      <c r="N132" s="92">
        <v>2000000</v>
      </c>
      <c r="O132" s="4">
        <f>SUM(C132:N132)-14400000</f>
        <v>0</v>
      </c>
      <c r="P132" s="34">
        <f t="shared" si="31"/>
        <v>0</v>
      </c>
      <c r="Q132" s="40">
        <f t="shared" si="25"/>
        <v>14400000</v>
      </c>
      <c r="R132" s="38"/>
      <c r="S132" s="2"/>
      <c r="T132" s="2"/>
    </row>
    <row r="133" spans="1:22" x14ac:dyDescent="0.25">
      <c r="A133" s="21" t="s">
        <v>68</v>
      </c>
      <c r="B133" s="46">
        <v>48000000</v>
      </c>
      <c r="C133" s="4">
        <v>4000000</v>
      </c>
      <c r="D133" s="4">
        <v>4000000</v>
      </c>
      <c r="E133" s="4">
        <v>4000000</v>
      </c>
      <c r="F133" s="4">
        <v>4000000</v>
      </c>
      <c r="G133" s="4">
        <v>4000000</v>
      </c>
      <c r="H133" s="4">
        <v>4000000</v>
      </c>
      <c r="I133" s="91">
        <f>+'[9]Planeación 2024 P&amp;K'!$R$60</f>
        <v>4000000</v>
      </c>
      <c r="J133" s="97">
        <f>+'[10]Planeación 2024 P&amp;K'!$U$59</f>
        <v>4000000</v>
      </c>
      <c r="K133" s="4">
        <f>+'[10]Planeación 2024 P&amp;K'!$U$59</f>
        <v>4000000</v>
      </c>
      <c r="L133" s="4">
        <f t="shared" ref="L133:N134" si="35">+K133</f>
        <v>4000000</v>
      </c>
      <c r="M133" s="116">
        <f t="shared" si="35"/>
        <v>4000000</v>
      </c>
      <c r="N133" s="91">
        <f t="shared" si="35"/>
        <v>4000000</v>
      </c>
      <c r="O133" s="4">
        <f t="shared" si="19"/>
        <v>48000000</v>
      </c>
      <c r="P133" s="34">
        <f t="shared" si="31"/>
        <v>0</v>
      </c>
      <c r="Q133" s="40">
        <f t="shared" si="25"/>
        <v>0</v>
      </c>
      <c r="R133" s="38"/>
      <c r="S133" s="2"/>
      <c r="T133" s="2"/>
    </row>
    <row r="134" spans="1:22" x14ac:dyDescent="0.25">
      <c r="A134" s="21" t="s">
        <v>86</v>
      </c>
      <c r="B134" s="46">
        <v>39052465</v>
      </c>
      <c r="C134" s="4">
        <v>3254372.0833333335</v>
      </c>
      <c r="D134" s="4">
        <v>3254372.0833333335</v>
      </c>
      <c r="E134" s="4">
        <v>3254372.0833333335</v>
      </c>
      <c r="F134" s="4">
        <v>3254372.0833333335</v>
      </c>
      <c r="G134" s="4">
        <v>3254372.0833333335</v>
      </c>
      <c r="H134" s="4">
        <v>3254372.0833333335</v>
      </c>
      <c r="I134" s="91">
        <f>+'[9]Planeación 2024 P&amp;K'!$R$177</f>
        <v>3254372.0833333335</v>
      </c>
      <c r="J134" s="97">
        <f>+I134</f>
        <v>3254372.0833333335</v>
      </c>
      <c r="K134" s="4">
        <f>+'[10]Planeación 2024 P&amp;K'!$U$176</f>
        <v>3254372.0833333335</v>
      </c>
      <c r="L134" s="4">
        <f t="shared" si="35"/>
        <v>3254372.0833333335</v>
      </c>
      <c r="M134" s="116">
        <f t="shared" si="35"/>
        <v>3254372.0833333335</v>
      </c>
      <c r="N134" s="91">
        <f t="shared" si="35"/>
        <v>3254372.0833333335</v>
      </c>
      <c r="O134" s="4">
        <f t="shared" si="19"/>
        <v>39052465</v>
      </c>
      <c r="P134" s="34">
        <f t="shared" si="31"/>
        <v>0</v>
      </c>
      <c r="Q134" s="40">
        <f t="shared" si="25"/>
        <v>0</v>
      </c>
      <c r="R134" s="38"/>
      <c r="S134" s="2"/>
      <c r="T134" s="2"/>
    </row>
    <row r="135" spans="1:22" x14ac:dyDescent="0.25">
      <c r="A135" s="78" t="s">
        <v>108</v>
      </c>
      <c r="B135" s="46">
        <f>42000000-22000000</f>
        <v>20000000</v>
      </c>
      <c r="C135" s="4">
        <v>3500000</v>
      </c>
      <c r="D135" s="85">
        <v>3500000</v>
      </c>
      <c r="E135" s="4">
        <v>0</v>
      </c>
      <c r="F135" s="4">
        <v>0</v>
      </c>
      <c r="G135" s="4">
        <v>4000000</v>
      </c>
      <c r="H135" s="4">
        <v>4000000</v>
      </c>
      <c r="I135" s="91">
        <f>+'[9]Planeación 2024 P&amp;K'!$R$159</f>
        <v>2000000</v>
      </c>
      <c r="J135" s="102">
        <f>+'[10]Planeación 2024 P&amp;K'!$T$158</f>
        <v>2000000</v>
      </c>
      <c r="K135" s="4">
        <f>+'[10]Planeación 2024 P&amp;K'!$T$158</f>
        <v>2000000</v>
      </c>
      <c r="L135" s="4">
        <f>+'[10]Planeación 2024 P&amp;K'!$V$158</f>
        <v>2000000</v>
      </c>
      <c r="M135" s="116">
        <f>+L135</f>
        <v>2000000</v>
      </c>
      <c r="N135" s="91">
        <f>+M135-500000</f>
        <v>1500000</v>
      </c>
      <c r="O135" s="4">
        <f>SUM(C135:N135)-6500000</f>
        <v>20000000</v>
      </c>
      <c r="P135" s="34">
        <f t="shared" si="31"/>
        <v>0</v>
      </c>
      <c r="Q135" s="40">
        <f t="shared" ref="Q135:Q144" si="36">SUM(C135:N135)-O135</f>
        <v>6500000</v>
      </c>
      <c r="R135" s="38"/>
      <c r="S135" s="2"/>
      <c r="T135" s="2"/>
    </row>
    <row r="136" spans="1:22" x14ac:dyDescent="0.25">
      <c r="A136" s="5" t="s">
        <v>76</v>
      </c>
      <c r="B136" s="46">
        <v>9000000</v>
      </c>
      <c r="C136" s="4">
        <v>0</v>
      </c>
      <c r="D136" s="85">
        <v>6000000</v>
      </c>
      <c r="E136" s="85">
        <v>0</v>
      </c>
      <c r="F136" s="85">
        <v>0</v>
      </c>
      <c r="G136" s="85">
        <v>0</v>
      </c>
      <c r="H136" s="85">
        <v>3000000</v>
      </c>
      <c r="I136" s="91">
        <f>+'[9]Planeación 2024 P&amp;K'!$R$186</f>
        <v>10000000</v>
      </c>
      <c r="J136" s="69">
        <v>0</v>
      </c>
      <c r="K136" s="104">
        <f>+'[10]Planeación 2024 P&amp;K'!$U$80</f>
        <v>0</v>
      </c>
      <c r="L136" s="69">
        <v>0</v>
      </c>
      <c r="M136" s="116">
        <f>+[11]Resumennna!Y343</f>
        <v>0</v>
      </c>
      <c r="N136" s="4">
        <f>+[11]Resumennna!Z343</f>
        <v>0</v>
      </c>
      <c r="O136" s="4">
        <f>SUM(C136:N136)-10000000</f>
        <v>9000000</v>
      </c>
      <c r="P136" s="34">
        <f t="shared" si="31"/>
        <v>0</v>
      </c>
      <c r="Q136" s="40">
        <f t="shared" si="36"/>
        <v>10000000</v>
      </c>
      <c r="R136" s="38"/>
      <c r="S136" s="2"/>
      <c r="T136" s="2"/>
    </row>
    <row r="137" spans="1:22" x14ac:dyDescent="0.25">
      <c r="A137" s="5" t="s">
        <v>61</v>
      </c>
      <c r="B137" s="46">
        <v>10000000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97">
        <f>+'[10]Planeación 2024 P&amp;K'!$T$57</f>
        <v>5000000</v>
      </c>
      <c r="K137" s="4">
        <f>+[11]Resumennna!W318</f>
        <v>0</v>
      </c>
      <c r="L137" s="4">
        <f>+[11]Resumennna!X318</f>
        <v>0</v>
      </c>
      <c r="M137" s="116">
        <v>5000000</v>
      </c>
      <c r="N137" s="4">
        <f>+[11]Resumennna!Z318</f>
        <v>0</v>
      </c>
      <c r="O137" s="4">
        <f t="shared" si="19"/>
        <v>10000000</v>
      </c>
      <c r="P137" s="34">
        <f t="shared" si="31"/>
        <v>0</v>
      </c>
      <c r="Q137" s="40">
        <f t="shared" si="36"/>
        <v>0</v>
      </c>
      <c r="R137" s="38"/>
      <c r="S137" s="2"/>
      <c r="T137" s="2"/>
    </row>
    <row r="138" spans="1:22" x14ac:dyDescent="0.25">
      <c r="A138" s="5" t="s">
        <v>146</v>
      </c>
      <c r="B138" s="46">
        <f>137548000-14900000</f>
        <v>122648000</v>
      </c>
      <c r="C138" s="4">
        <v>8200000</v>
      </c>
      <c r="D138" s="4">
        <v>8200000</v>
      </c>
      <c r="E138" s="4">
        <v>27774000</v>
      </c>
      <c r="F138" s="4">
        <v>8200000</v>
      </c>
      <c r="G138" s="4">
        <v>8200000</v>
      </c>
      <c r="H138" s="4">
        <v>8200000</v>
      </c>
      <c r="I138" s="91">
        <f>+'[9]Planeación 2024 P&amp;K'!$R$54</f>
        <v>8200000</v>
      </c>
      <c r="J138" s="97">
        <f>+'[10]Planeación 2024 P&amp;K'!$T$53+'[10]Planeación 2024 P&amp;K'!$T$54+4762000</f>
        <v>32536000</v>
      </c>
      <c r="K138" s="91">
        <f>+'[10]Planeación 2024 P&amp;K'!$U$53</f>
        <v>8200000</v>
      </c>
      <c r="L138" s="4">
        <f t="shared" ref="L138:N140" si="37">+K138</f>
        <v>8200000</v>
      </c>
      <c r="M138" s="116">
        <f t="shared" si="37"/>
        <v>8200000</v>
      </c>
      <c r="N138" s="91">
        <f t="shared" si="37"/>
        <v>8200000</v>
      </c>
      <c r="O138" s="4">
        <f>SUM(C138:N138)-19662000</f>
        <v>122648000</v>
      </c>
      <c r="P138" s="34">
        <f t="shared" si="31"/>
        <v>0</v>
      </c>
      <c r="Q138" s="40">
        <f t="shared" si="36"/>
        <v>19662000</v>
      </c>
      <c r="R138" s="38"/>
      <c r="S138" s="2"/>
      <c r="T138" s="2"/>
    </row>
    <row r="139" spans="1:22" x14ac:dyDescent="0.25">
      <c r="A139" s="5" t="s">
        <v>83</v>
      </c>
      <c r="B139" s="46">
        <v>6000000</v>
      </c>
      <c r="C139" s="4">
        <v>500000</v>
      </c>
      <c r="D139" s="4">
        <v>500000</v>
      </c>
      <c r="E139" s="4">
        <v>500000</v>
      </c>
      <c r="F139" s="4">
        <v>500000</v>
      </c>
      <c r="G139" s="4">
        <v>500000</v>
      </c>
      <c r="H139" s="4">
        <v>500000</v>
      </c>
      <c r="I139" s="91">
        <f>+'[9]Planeación 2024 P&amp;K'!$R$59</f>
        <v>500000</v>
      </c>
      <c r="J139" s="97">
        <f>+'[10]Planeación 2024 P&amp;K'!$U$58</f>
        <v>500000</v>
      </c>
      <c r="K139" s="91">
        <f>+'[10]Planeación 2024 P&amp;K'!$U$58</f>
        <v>500000</v>
      </c>
      <c r="L139" s="4">
        <f t="shared" si="37"/>
        <v>500000</v>
      </c>
      <c r="M139" s="116">
        <f t="shared" si="37"/>
        <v>500000</v>
      </c>
      <c r="N139" s="91">
        <f t="shared" si="37"/>
        <v>500000</v>
      </c>
      <c r="O139" s="4">
        <f t="shared" si="19"/>
        <v>6000000</v>
      </c>
      <c r="P139" s="34">
        <f t="shared" si="31"/>
        <v>0</v>
      </c>
      <c r="Q139" s="40">
        <f t="shared" si="36"/>
        <v>0</v>
      </c>
      <c r="R139" s="38"/>
      <c r="S139" s="2"/>
      <c r="T139" s="2"/>
    </row>
    <row r="140" spans="1:22" x14ac:dyDescent="0.25">
      <c r="A140" s="5" t="s">
        <v>56</v>
      </c>
      <c r="B140" s="46">
        <v>18100000</v>
      </c>
      <c r="C140" s="4">
        <v>1508333.3333333333</v>
      </c>
      <c r="D140" s="4">
        <v>1508333.3333333333</v>
      </c>
      <c r="E140" s="4">
        <v>1508333.3333333333</v>
      </c>
      <c r="F140" s="4">
        <v>1508333.3333333333</v>
      </c>
      <c r="G140" s="4">
        <v>1508333.3333333333</v>
      </c>
      <c r="H140" s="4">
        <v>1508333.3333333333</v>
      </c>
      <c r="I140" s="91">
        <f>+'[9]Planeación 2024 P&amp;K'!$R$178</f>
        <v>1508333.3333333333</v>
      </c>
      <c r="J140" s="97">
        <f>+I140</f>
        <v>1508333.3333333333</v>
      </c>
      <c r="K140" s="91">
        <f>+'[10]Planeación 2024 P&amp;K'!$U$177</f>
        <v>1508333.3333333333</v>
      </c>
      <c r="L140" s="4">
        <f t="shared" si="37"/>
        <v>1508333.3333333333</v>
      </c>
      <c r="M140" s="116">
        <f t="shared" si="37"/>
        <v>1508333.3333333333</v>
      </c>
      <c r="N140" s="91">
        <f t="shared" si="37"/>
        <v>1508333.3333333333</v>
      </c>
      <c r="O140" s="4">
        <f t="shared" si="19"/>
        <v>18100000.000000004</v>
      </c>
      <c r="P140" s="34">
        <f t="shared" si="31"/>
        <v>0</v>
      </c>
      <c r="Q140" s="40">
        <f t="shared" si="36"/>
        <v>0</v>
      </c>
      <c r="R140" s="38"/>
      <c r="S140" s="2"/>
      <c r="T140" s="2"/>
    </row>
    <row r="141" spans="1:22" x14ac:dyDescent="0.25">
      <c r="A141" s="5" t="s">
        <v>38</v>
      </c>
      <c r="B141" s="46">
        <v>29568000</v>
      </c>
      <c r="C141" s="4">
        <v>2464000</v>
      </c>
      <c r="D141" s="4">
        <v>2464000</v>
      </c>
      <c r="E141" s="4">
        <v>2464000</v>
      </c>
      <c r="F141" s="4">
        <v>2464000</v>
      </c>
      <c r="G141" s="4">
        <v>2464000</v>
      </c>
      <c r="H141" s="4">
        <v>2464000</v>
      </c>
      <c r="I141" s="91">
        <f t="shared" ref="I141:N142" si="38">+H141</f>
        <v>2464000</v>
      </c>
      <c r="J141" s="97">
        <f t="shared" si="38"/>
        <v>2464000</v>
      </c>
      <c r="K141" s="91">
        <f>+'[10]Planeación 2024 P&amp;K'!$U$48</f>
        <v>2464000</v>
      </c>
      <c r="L141" s="4">
        <f t="shared" si="38"/>
        <v>2464000</v>
      </c>
      <c r="M141" s="116">
        <f t="shared" si="38"/>
        <v>2464000</v>
      </c>
      <c r="N141" s="91">
        <f t="shared" si="38"/>
        <v>2464000</v>
      </c>
      <c r="O141" s="4">
        <f t="shared" si="19"/>
        <v>29568000</v>
      </c>
      <c r="P141" s="34">
        <f t="shared" si="31"/>
        <v>0</v>
      </c>
      <c r="Q141" s="40">
        <f t="shared" si="36"/>
        <v>0</v>
      </c>
      <c r="R141" s="38"/>
      <c r="S141" s="2"/>
      <c r="T141" s="2"/>
    </row>
    <row r="142" spans="1:22" x14ac:dyDescent="0.25">
      <c r="A142" s="5" t="s">
        <v>39</v>
      </c>
      <c r="B142" s="46">
        <f>764736000-542736000</f>
        <v>222000000</v>
      </c>
      <c r="C142" s="4">
        <v>63728000</v>
      </c>
      <c r="D142" s="4">
        <v>63728000</v>
      </c>
      <c r="E142" s="4">
        <v>9454400</v>
      </c>
      <c r="F142" s="4">
        <v>9454400</v>
      </c>
      <c r="G142" s="4">
        <v>16000000</v>
      </c>
      <c r="H142" s="4">
        <v>16000000</v>
      </c>
      <c r="I142" s="91">
        <f t="shared" si="38"/>
        <v>16000000</v>
      </c>
      <c r="J142" s="97">
        <f t="shared" si="38"/>
        <v>16000000</v>
      </c>
      <c r="K142" s="91">
        <f>+'[10]Planeación 2024 P&amp;K'!$U$49</f>
        <v>16000000</v>
      </c>
      <c r="L142" s="4">
        <f t="shared" si="38"/>
        <v>16000000</v>
      </c>
      <c r="M142" s="116">
        <f t="shared" si="38"/>
        <v>16000000</v>
      </c>
      <c r="N142" s="91">
        <f t="shared" si="38"/>
        <v>16000000</v>
      </c>
      <c r="O142" s="4">
        <f>SUM(C142:N142)-52364800</f>
        <v>222000000</v>
      </c>
      <c r="P142" s="34">
        <f t="shared" si="31"/>
        <v>0</v>
      </c>
      <c r="Q142" s="40">
        <f t="shared" si="36"/>
        <v>52364800</v>
      </c>
      <c r="R142" s="38"/>
      <c r="S142" s="2"/>
      <c r="T142" s="2"/>
    </row>
    <row r="143" spans="1:22" x14ac:dyDescent="0.25">
      <c r="A143" s="12" t="s">
        <v>53</v>
      </c>
      <c r="B143" s="8">
        <f t="shared" ref="B143:N143" si="39">SUM(B82:B142)</f>
        <v>3962596188.7873907</v>
      </c>
      <c r="C143" s="8">
        <f t="shared" si="39"/>
        <v>210216582.39894927</v>
      </c>
      <c r="D143" s="8">
        <f t="shared" si="39"/>
        <v>229170582.39894927</v>
      </c>
      <c r="E143" s="8">
        <f t="shared" si="39"/>
        <v>214674982.39894927</v>
      </c>
      <c r="F143" s="8">
        <f t="shared" si="39"/>
        <v>166913782.39894927</v>
      </c>
      <c r="G143" s="8">
        <f t="shared" si="39"/>
        <v>250604689.23228261</v>
      </c>
      <c r="H143" s="8">
        <f t="shared" si="39"/>
        <v>241157089.23228261</v>
      </c>
      <c r="I143" s="8">
        <f t="shared" si="39"/>
        <v>245157607.23228261</v>
      </c>
      <c r="J143" s="8">
        <f t="shared" si="39"/>
        <v>259903489.23583764</v>
      </c>
      <c r="K143" s="8">
        <f t="shared" si="39"/>
        <v>1754175889.2358375</v>
      </c>
      <c r="L143" s="8">
        <f t="shared" si="39"/>
        <v>233202089.23583764</v>
      </c>
      <c r="M143" s="8">
        <f t="shared" si="39"/>
        <v>216241089.23583764</v>
      </c>
      <c r="N143" s="8">
        <f t="shared" si="39"/>
        <v>146694189.23583758</v>
      </c>
      <c r="O143" s="8">
        <f>SUM(O82:O142)</f>
        <v>3867605288.4718328</v>
      </c>
      <c r="P143" s="34">
        <f t="shared" ref="P143:P155" si="40">+O143-B143</f>
        <v>-94990900.315557957</v>
      </c>
      <c r="Q143" s="40">
        <f t="shared" si="36"/>
        <v>300506773</v>
      </c>
      <c r="R143" s="39"/>
      <c r="S143" s="2"/>
      <c r="T143" s="2"/>
      <c r="V143" s="2"/>
    </row>
    <row r="144" spans="1:22" s="1" customFormat="1" x14ac:dyDescent="0.25">
      <c r="A144" s="12" t="s">
        <v>62</v>
      </c>
      <c r="B144" s="15">
        <f t="shared" ref="B144:O144" si="41">+B143+B81+B49</f>
        <v>9565112976.7940598</v>
      </c>
      <c r="C144" s="15">
        <f t="shared" si="41"/>
        <v>593471271.37071896</v>
      </c>
      <c r="D144" s="15">
        <f t="shared" si="41"/>
        <v>688335413.37071908</v>
      </c>
      <c r="E144" s="15">
        <f t="shared" si="41"/>
        <v>541968464.48971903</v>
      </c>
      <c r="F144" s="15">
        <f t="shared" si="41"/>
        <v>446337097.82305241</v>
      </c>
      <c r="G144" s="15">
        <f t="shared" si="41"/>
        <v>748628004.65638578</v>
      </c>
      <c r="H144" s="15">
        <f t="shared" si="41"/>
        <v>731130404.65638578</v>
      </c>
      <c r="I144" s="15">
        <f t="shared" si="41"/>
        <v>907020922.65638578</v>
      </c>
      <c r="J144" s="15">
        <f t="shared" si="41"/>
        <v>791015804.65994072</v>
      </c>
      <c r="K144" s="15">
        <f t="shared" si="41"/>
        <v>2392949204.6599407</v>
      </c>
      <c r="L144" s="15">
        <f t="shared" si="41"/>
        <v>831989212.65994072</v>
      </c>
      <c r="M144" s="15">
        <f>+M143+M81+M49</f>
        <v>814719394.23094082</v>
      </c>
      <c r="N144" s="15">
        <f t="shared" si="41"/>
        <v>439332366.15094066</v>
      </c>
      <c r="O144" s="15">
        <f t="shared" si="41"/>
        <v>9419480463.4850693</v>
      </c>
      <c r="P144" s="34">
        <f t="shared" si="40"/>
        <v>-145632513.30899048</v>
      </c>
      <c r="Q144" s="40">
        <f t="shared" si="36"/>
        <v>507417097.90000153</v>
      </c>
      <c r="R144" s="40"/>
      <c r="S144" s="2"/>
      <c r="T144" s="2"/>
    </row>
    <row r="145" spans="1:23" ht="19.5" thickBot="1" x14ac:dyDescent="0.3">
      <c r="A145" s="13" t="s">
        <v>0</v>
      </c>
      <c r="B145" s="9">
        <f>+B14-B144</f>
        <v>2.460479736328125E-4</v>
      </c>
      <c r="C145" s="9">
        <f t="shared" ref="C145:O145" si="42">+C14-C144</f>
        <v>-417949554.68091965</v>
      </c>
      <c r="D145" s="9">
        <f t="shared" si="42"/>
        <v>-506325125.80091977</v>
      </c>
      <c r="E145" s="9">
        <f t="shared" si="42"/>
        <v>2146530393.9600806</v>
      </c>
      <c r="F145" s="9">
        <f t="shared" si="42"/>
        <v>-251349668.49325308</v>
      </c>
      <c r="G145" s="9">
        <f t="shared" si="42"/>
        <v>-547152004.44658649</v>
      </c>
      <c r="H145" s="9">
        <f t="shared" si="42"/>
        <v>-523165833.56658649</v>
      </c>
      <c r="I145" s="9">
        <f t="shared" si="42"/>
        <v>3896320010.1134133</v>
      </c>
      <c r="J145" s="9">
        <f t="shared" si="42"/>
        <v>-568753168.52331054</v>
      </c>
      <c r="K145" s="9">
        <f t="shared" si="42"/>
        <v>-2170686568.5233107</v>
      </c>
      <c r="L145" s="9">
        <f t="shared" si="42"/>
        <v>-609726576.52331054</v>
      </c>
      <c r="M145" s="9">
        <f t="shared" si="42"/>
        <v>-592456758.09431064</v>
      </c>
      <c r="N145" s="9">
        <f t="shared" si="42"/>
        <v>-217069730.01431051</v>
      </c>
      <c r="O145" s="9">
        <f t="shared" si="42"/>
        <v>145632513.30667686</v>
      </c>
      <c r="P145" s="34">
        <f t="shared" si="40"/>
        <v>145632513.30643082</v>
      </c>
      <c r="Q145" s="41"/>
      <c r="R145" s="41"/>
      <c r="S145" s="2"/>
      <c r="T145" s="2"/>
    </row>
    <row r="146" spans="1:23" x14ac:dyDescent="0.25">
      <c r="C146" s="2">
        <f>+C144</f>
        <v>593471271.37071896</v>
      </c>
      <c r="D146" s="2">
        <f>+C146+D144</f>
        <v>1281806684.7414379</v>
      </c>
      <c r="E146" s="2">
        <f t="shared" ref="E146:L146" si="43">+D146+E144</f>
        <v>1823775149.2311568</v>
      </c>
      <c r="F146" s="2">
        <f t="shared" si="43"/>
        <v>2270112247.0542092</v>
      </c>
      <c r="G146" s="2">
        <f t="shared" si="43"/>
        <v>3018740251.7105951</v>
      </c>
      <c r="H146" s="2">
        <f t="shared" si="43"/>
        <v>3749870656.366981</v>
      </c>
      <c r="I146" s="2">
        <f t="shared" si="43"/>
        <v>4656891579.0233669</v>
      </c>
      <c r="J146" s="2">
        <f t="shared" si="43"/>
        <v>5447907383.6833076</v>
      </c>
      <c r="K146" s="2">
        <f t="shared" si="43"/>
        <v>7840856588.3432484</v>
      </c>
      <c r="L146" s="2">
        <f t="shared" si="43"/>
        <v>8672845801.0031891</v>
      </c>
      <c r="M146" s="2">
        <f t="shared" ref="M146" si="44">+L146+M144</f>
        <v>9487565195.2341309</v>
      </c>
      <c r="N146" s="2">
        <f>+M146+N144</f>
        <v>9926897561.3850708</v>
      </c>
      <c r="P146" s="34">
        <f t="shared" si="40"/>
        <v>0</v>
      </c>
      <c r="T146" s="2"/>
    </row>
    <row r="147" spans="1:23" x14ac:dyDescent="0.25">
      <c r="B147" s="2"/>
      <c r="E147" s="2"/>
      <c r="G147" s="2"/>
      <c r="H147" s="2"/>
      <c r="I147" s="2"/>
      <c r="J147" s="2"/>
      <c r="K147" s="105"/>
      <c r="M147">
        <f>+N147/2</f>
        <v>180892292.29550552</v>
      </c>
      <c r="N147" s="2">
        <f>+N146-B144</f>
        <v>361784584.59101105</v>
      </c>
      <c r="P147" s="34">
        <f t="shared" si="40"/>
        <v>0</v>
      </c>
      <c r="Q147" s="2"/>
      <c r="T147" s="2" t="e">
        <f>+#REF!</f>
        <v>#REF!</v>
      </c>
      <c r="U147" s="20"/>
      <c r="W147" s="2"/>
    </row>
    <row r="148" spans="1:23" x14ac:dyDescent="0.25">
      <c r="B148" s="2"/>
      <c r="C148" s="3">
        <f>+'[12]202401anual'!C147</f>
        <v>593971271.37071896</v>
      </c>
      <c r="D148" s="3">
        <f>+'[12]202401anual'!D147</f>
        <v>1282806684.7414379</v>
      </c>
      <c r="E148" s="3">
        <f>+'[12]202401anual'!E147</f>
        <v>1825275149.2311568</v>
      </c>
      <c r="F148" s="3">
        <f>+'[12]202401anual'!F147</f>
        <v>2271612247.0542092</v>
      </c>
      <c r="G148" s="3">
        <f>+'[12]202401anual'!G147</f>
        <v>3020240251.7105951</v>
      </c>
      <c r="H148" s="3">
        <f>+'[12]202401anual'!H147</f>
        <v>3751370656.366981</v>
      </c>
      <c r="I148" s="3">
        <f>+'[12]202401anual'!I147</f>
        <v>4658391579.0233669</v>
      </c>
      <c r="J148" s="3">
        <f>+'[12]202401anual'!J147</f>
        <v>5449407383.6833076</v>
      </c>
      <c r="K148" s="3">
        <f>+'[12]202401anual'!K147</f>
        <v>7842356588.3432484</v>
      </c>
      <c r="L148" s="3">
        <f>+'[12]202401anual'!L147</f>
        <v>0</v>
      </c>
      <c r="N148" s="2">
        <f>+N147-O144</f>
        <v>-9057695878.8940582</v>
      </c>
      <c r="P148" s="34">
        <f t="shared" si="40"/>
        <v>0</v>
      </c>
      <c r="T148" s="2">
        <f>815000000*1.07</f>
        <v>872050000</v>
      </c>
      <c r="U148" s="20"/>
      <c r="W148" s="2"/>
    </row>
    <row r="149" spans="1:23" x14ac:dyDescent="0.25">
      <c r="B149" s="2"/>
      <c r="C149" s="2">
        <f>+C148-C146</f>
        <v>500000</v>
      </c>
      <c r="D149" s="2">
        <f t="shared" ref="D149:L149" si="45">+D148-D146</f>
        <v>1000000</v>
      </c>
      <c r="E149" s="2">
        <f t="shared" si="45"/>
        <v>1500000</v>
      </c>
      <c r="F149" s="2">
        <f t="shared" si="45"/>
        <v>1500000</v>
      </c>
      <c r="G149" s="2">
        <f t="shared" si="45"/>
        <v>1500000</v>
      </c>
      <c r="H149" s="2">
        <f t="shared" si="45"/>
        <v>1500000</v>
      </c>
      <c r="I149" s="2">
        <f t="shared" si="45"/>
        <v>1500000</v>
      </c>
      <c r="J149" s="2">
        <f t="shared" si="45"/>
        <v>1500000</v>
      </c>
      <c r="K149" s="2">
        <f t="shared" si="45"/>
        <v>1500000</v>
      </c>
      <c r="L149" s="2">
        <f t="shared" si="45"/>
        <v>-8672845801.0031891</v>
      </c>
      <c r="N149" s="2">
        <f>+N148/10</f>
        <v>-905769587.88940585</v>
      </c>
      <c r="P149" s="34">
        <f t="shared" si="40"/>
        <v>0</v>
      </c>
      <c r="Q149" s="2"/>
      <c r="T149" s="2">
        <v>-1173139539</v>
      </c>
      <c r="U149" s="20"/>
    </row>
    <row r="150" spans="1:23" x14ac:dyDescent="0.25">
      <c r="B150" s="2"/>
      <c r="G150" s="2"/>
      <c r="H150" s="2"/>
      <c r="J150" s="2"/>
      <c r="P150" s="34">
        <f t="shared" si="40"/>
        <v>0</v>
      </c>
      <c r="T150" s="2">
        <v>-272818809</v>
      </c>
      <c r="U150" s="20">
        <v>371527244</v>
      </c>
      <c r="V150" s="2">
        <f>+U150+T150</f>
        <v>98708435</v>
      </c>
    </row>
    <row r="151" spans="1:23" x14ac:dyDescent="0.25">
      <c r="B151" s="2"/>
      <c r="D151" s="2"/>
      <c r="H151" s="2"/>
      <c r="J151" s="2"/>
      <c r="M151">
        <v>656363394</v>
      </c>
      <c r="N151" s="2">
        <v>784916275</v>
      </c>
      <c r="O151" s="2">
        <f>+N151-N144</f>
        <v>345583908.84905934</v>
      </c>
      <c r="P151" s="34">
        <f t="shared" si="40"/>
        <v>345583908.84905934</v>
      </c>
      <c r="T151" s="2">
        <f>-(2000000-1920114)*12</f>
        <v>-958632</v>
      </c>
      <c r="U151" s="2"/>
    </row>
    <row r="152" spans="1:23" x14ac:dyDescent="0.25">
      <c r="C152" s="2">
        <f>+C144</f>
        <v>593471271.37071896</v>
      </c>
      <c r="D152" s="2">
        <f>+C152+D144</f>
        <v>1281806684.7414379</v>
      </c>
      <c r="E152" s="2">
        <f t="shared" ref="E152:N152" si="46">+D152+E144</f>
        <v>1823775149.2311568</v>
      </c>
      <c r="F152" s="2">
        <f t="shared" si="46"/>
        <v>2270112247.0542092</v>
      </c>
      <c r="G152" s="2">
        <f t="shared" si="46"/>
        <v>3018740251.7105951</v>
      </c>
      <c r="H152" s="2">
        <f t="shared" si="46"/>
        <v>3749870656.366981</v>
      </c>
      <c r="I152" s="2">
        <f t="shared" si="46"/>
        <v>4656891579.0233669</v>
      </c>
      <c r="J152" s="2">
        <f t="shared" si="46"/>
        <v>5447907383.6833076</v>
      </c>
      <c r="K152" s="2">
        <f t="shared" si="46"/>
        <v>7840856588.3432484</v>
      </c>
      <c r="L152" s="2">
        <f t="shared" si="46"/>
        <v>8672845801.0031891</v>
      </c>
      <c r="M152" s="2">
        <f t="shared" si="46"/>
        <v>9487565195.2341309</v>
      </c>
      <c r="N152" s="2">
        <f t="shared" si="46"/>
        <v>9926897561.3850708</v>
      </c>
      <c r="P152" s="34">
        <f t="shared" si="40"/>
        <v>0</v>
      </c>
      <c r="T152" s="2">
        <v>-49700000</v>
      </c>
      <c r="U152" s="2"/>
    </row>
    <row r="153" spans="1:23" x14ac:dyDescent="0.25">
      <c r="C153" s="3">
        <f>+'2024Ej'!C99</f>
        <v>594304604.70405233</v>
      </c>
      <c r="D153" s="3">
        <f>+'2024Ej'!F99</f>
        <v>689168746.70405233</v>
      </c>
      <c r="E153" s="3">
        <f>+'2024Ej'!I99</f>
        <v>364584071.48971903</v>
      </c>
      <c r="F153" s="3">
        <f>+'2024Ej'!L99</f>
        <v>570019204.65638578</v>
      </c>
      <c r="G153" s="3">
        <f>+'2024Ej'!G99</f>
        <v>347820769.82999998</v>
      </c>
      <c r="H153" s="3">
        <f>+'2024Ej'!H99</f>
        <v>341347976.87405235</v>
      </c>
      <c r="I153" s="3">
        <f>+'2024Ej'!I99</f>
        <v>364584071.48971903</v>
      </c>
      <c r="J153" s="3">
        <f>+'2024Ej'!J99</f>
        <v>311281642.25</v>
      </c>
      <c r="K153" s="3">
        <f>+'2024Ej'!K99</f>
        <v>53302429.239719026</v>
      </c>
      <c r="L153" s="3">
        <f>+'2024Ej'!L99</f>
        <v>570019204.65638578</v>
      </c>
      <c r="M153" s="3">
        <f>+'2024Ej'!M99</f>
        <v>530357898.14999998</v>
      </c>
      <c r="N153" s="3">
        <f>+'2024Ej'!N99</f>
        <v>39661306.506385669</v>
      </c>
      <c r="P153" s="34">
        <f t="shared" si="40"/>
        <v>0</v>
      </c>
      <c r="T153" s="2" t="e">
        <f>-#REF!</f>
        <v>#REF!</v>
      </c>
    </row>
    <row r="154" spans="1:23" x14ac:dyDescent="0.25">
      <c r="H154" s="2"/>
      <c r="M154" s="2">
        <f>+M144-'2024Ej'!AH99</f>
        <v>212356518.53094077</v>
      </c>
      <c r="N154" s="2">
        <f>+N153-N152</f>
        <v>-9887236254.878685</v>
      </c>
      <c r="P154" s="34">
        <f t="shared" si="40"/>
        <v>0</v>
      </c>
      <c r="T154" s="2" t="e">
        <f>-#REF!</f>
        <v>#REF!</v>
      </c>
    </row>
    <row r="155" spans="1:23" x14ac:dyDescent="0.25">
      <c r="H155" s="2"/>
      <c r="I155" s="2"/>
      <c r="M155" s="2">
        <f>+M154-N144</f>
        <v>-226975847.61999989</v>
      </c>
      <c r="P155" s="34">
        <f t="shared" si="40"/>
        <v>0</v>
      </c>
      <c r="T155" s="2">
        <f>+S48</f>
        <v>0</v>
      </c>
    </row>
    <row r="156" spans="1:23" x14ac:dyDescent="0.25">
      <c r="M156" s="2">
        <f>+M155+N144</f>
        <v>212356518.53094077</v>
      </c>
      <c r="T156" s="2" t="e">
        <f>SUM(T147:T155)</f>
        <v>#REF!</v>
      </c>
    </row>
    <row r="157" spans="1:23" x14ac:dyDescent="0.25">
      <c r="T157" s="2" t="e">
        <f>+T156-#REF!</f>
        <v>#REF!</v>
      </c>
    </row>
    <row r="158" spans="1:23" x14ac:dyDescent="0.25">
      <c r="O158">
        <f>+'2024Ej'!AM105</f>
        <v>0</v>
      </c>
    </row>
    <row r="159" spans="1:23" x14ac:dyDescent="0.25">
      <c r="L159" s="3">
        <v>9565112976.7293091</v>
      </c>
      <c r="M159" s="2">
        <f>+M144-'2024Ej'!AG99</f>
        <v>21500000</v>
      </c>
      <c r="N159">
        <v>774514875</v>
      </c>
      <c r="O159" s="2">
        <f>+M144+N159</f>
        <v>1589234269.2309408</v>
      </c>
    </row>
    <row r="160" spans="1:23" x14ac:dyDescent="0.25">
      <c r="G160" s="2"/>
      <c r="N160" s="2">
        <f>+N159-N144</f>
        <v>335182508.84905934</v>
      </c>
      <c r="O160" s="2">
        <f>+O159-O158</f>
        <v>1589234269.2309408</v>
      </c>
    </row>
    <row r="161" spans="12:14" x14ac:dyDescent="0.25">
      <c r="L161" s="2">
        <f>+L159-B144</f>
        <v>-6.475067138671875E-2</v>
      </c>
      <c r="N161" s="2">
        <f>+N160-S96</f>
        <v>313632508.84905934</v>
      </c>
    </row>
    <row r="162" spans="12:14" x14ac:dyDescent="0.25">
      <c r="L162" s="2">
        <f>SUM(M144:N144)</f>
        <v>1254051760.3818815</v>
      </c>
    </row>
  </sheetData>
  <autoFilter ref="A5:O145" xr:uid="{4C861BE8-7E5D-4966-A65F-7599F5FEBCAA}"/>
  <mergeCells count="2">
    <mergeCell ref="A1:C1"/>
    <mergeCell ref="A3:O3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9B29-B0CC-43C7-B39A-D8917A4DC017}">
  <dimension ref="A1:BA131"/>
  <sheetViews>
    <sheetView showGridLines="0" tabSelected="1" zoomScaleNormal="100" workbookViewId="0">
      <pane xSplit="1" ySplit="5" topLeftCell="AC79" activePane="bottomRight" state="frozen"/>
      <selection pane="topRight" activeCell="B1" sqref="B1"/>
      <selection pane="bottomLeft" activeCell="A5" sqref="A5"/>
      <selection pane="bottomRight" activeCell="AH82" sqref="AH82"/>
    </sheetView>
  </sheetViews>
  <sheetFormatPr baseColWidth="10" defaultColWidth="11.42578125" defaultRowHeight="15" x14ac:dyDescent="0.25"/>
  <cols>
    <col min="1" max="1" width="65.42578125" customWidth="1"/>
    <col min="2" max="2" width="17.85546875" bestFit="1" customWidth="1"/>
    <col min="3" max="8" width="15.5703125" customWidth="1"/>
    <col min="9" max="11" width="16.7109375" customWidth="1"/>
    <col min="12" max="23" width="16.140625" customWidth="1"/>
    <col min="24" max="27" width="16.7109375" customWidth="1"/>
    <col min="28" max="28" width="14.28515625" customWidth="1"/>
    <col min="29" max="29" width="14.140625" customWidth="1"/>
    <col min="30" max="35" width="16.7109375" customWidth="1"/>
    <col min="36" max="38" width="16.140625" hidden="1" customWidth="1"/>
    <col min="39" max="39" width="17.85546875" customWidth="1"/>
    <col min="40" max="40" width="16.7109375" customWidth="1"/>
    <col min="41" max="41" width="18.42578125" customWidth="1"/>
    <col min="42" max="42" width="9.5703125" customWidth="1"/>
    <col min="43" max="43" width="16.85546875" customWidth="1"/>
    <col min="44" max="44" width="16.140625" customWidth="1"/>
    <col min="45" max="45" width="17" bestFit="1" customWidth="1"/>
    <col min="46" max="46" width="18.42578125" customWidth="1"/>
    <col min="47" max="47" width="4.5703125" bestFit="1" customWidth="1"/>
    <col min="48" max="48" width="14.140625" bestFit="1" customWidth="1"/>
    <col min="49" max="49" width="10.42578125" bestFit="1" customWidth="1"/>
    <col min="50" max="50" width="14" customWidth="1"/>
    <col min="51" max="51" width="15.140625" style="73" bestFit="1" customWidth="1"/>
    <col min="52" max="52" width="11.42578125" customWidth="1"/>
  </cols>
  <sheetData>
    <row r="1" spans="1:52" x14ac:dyDescent="0.25">
      <c r="A1" s="127" t="s">
        <v>51</v>
      </c>
      <c r="B1" s="127"/>
      <c r="C1" s="127"/>
      <c r="D1" s="14"/>
      <c r="E1" s="14"/>
      <c r="Y1" s="2"/>
      <c r="Z1" s="96"/>
    </row>
    <row r="2" spans="1:52" x14ac:dyDescent="0.25">
      <c r="A2" s="14"/>
      <c r="B2" s="14"/>
      <c r="C2" s="14"/>
      <c r="D2" s="14"/>
      <c r="E2" s="14"/>
      <c r="Y2" s="2"/>
    </row>
    <row r="3" spans="1:52" ht="15.75" thickBot="1" x14ac:dyDescent="0.3">
      <c r="A3" s="128" t="s">
        <v>192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23"/>
      <c r="AR3" s="23"/>
    </row>
    <row r="4" spans="1:52" ht="15.75" thickBot="1" x14ac:dyDescent="0.3">
      <c r="A4" s="23"/>
      <c r="B4" s="23"/>
      <c r="C4" s="129" t="s">
        <v>105</v>
      </c>
      <c r="D4" s="130"/>
      <c r="E4" s="131"/>
      <c r="F4" s="129" t="s">
        <v>107</v>
      </c>
      <c r="G4" s="130"/>
      <c r="H4" s="131"/>
      <c r="I4" s="129" t="s">
        <v>109</v>
      </c>
      <c r="J4" s="130"/>
      <c r="K4" s="131"/>
      <c r="L4" s="129" t="s">
        <v>112</v>
      </c>
      <c r="M4" s="130"/>
      <c r="N4" s="131"/>
      <c r="O4" s="129" t="s">
        <v>113</v>
      </c>
      <c r="P4" s="130"/>
      <c r="Q4" s="131"/>
      <c r="R4" s="129" t="s">
        <v>115</v>
      </c>
      <c r="S4" s="130"/>
      <c r="T4" s="131"/>
      <c r="U4" s="129" t="s">
        <v>116</v>
      </c>
      <c r="V4" s="130"/>
      <c r="W4" s="131"/>
      <c r="X4" s="129" t="s">
        <v>117</v>
      </c>
      <c r="Y4" s="130"/>
      <c r="Z4" s="131"/>
      <c r="AA4" s="129" t="s">
        <v>122</v>
      </c>
      <c r="AB4" s="130"/>
      <c r="AC4" s="131"/>
      <c r="AD4" s="129" t="s">
        <v>123</v>
      </c>
      <c r="AE4" s="130"/>
      <c r="AF4" s="131"/>
      <c r="AG4" s="129" t="s">
        <v>124</v>
      </c>
      <c r="AH4" s="130"/>
      <c r="AI4" s="131"/>
      <c r="AJ4" s="129" t="s">
        <v>125</v>
      </c>
      <c r="AK4" s="130"/>
      <c r="AL4" s="131"/>
      <c r="AM4" s="132" t="s">
        <v>48</v>
      </c>
      <c r="AN4" s="133"/>
      <c r="AO4" s="133"/>
      <c r="AP4" s="134"/>
      <c r="AQ4" s="23"/>
      <c r="AR4" s="23"/>
    </row>
    <row r="5" spans="1:52" s="19" customFormat="1" ht="30" x14ac:dyDescent="0.25">
      <c r="A5" s="16" t="s">
        <v>50</v>
      </c>
      <c r="B5" s="17" t="s">
        <v>126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106</v>
      </c>
      <c r="W5" s="17" t="s">
        <v>100</v>
      </c>
      <c r="X5" s="17" t="s">
        <v>45</v>
      </c>
      <c r="Y5" s="17" t="s">
        <v>106</v>
      </c>
      <c r="Z5" s="17" t="s">
        <v>100</v>
      </c>
      <c r="AA5" s="17" t="s">
        <v>46</v>
      </c>
      <c r="AB5" s="17" t="s">
        <v>106</v>
      </c>
      <c r="AC5" s="17" t="s">
        <v>100</v>
      </c>
      <c r="AD5" s="17" t="s">
        <v>47</v>
      </c>
      <c r="AE5" s="17" t="s">
        <v>106</v>
      </c>
      <c r="AF5" s="17" t="s">
        <v>100</v>
      </c>
      <c r="AG5" s="17" t="s">
        <v>4</v>
      </c>
      <c r="AH5" s="17" t="s">
        <v>106</v>
      </c>
      <c r="AI5" s="17" t="s">
        <v>100</v>
      </c>
      <c r="AJ5" s="17" t="s">
        <v>3</v>
      </c>
      <c r="AK5" s="17" t="s">
        <v>106</v>
      </c>
      <c r="AL5" s="17" t="s">
        <v>100</v>
      </c>
      <c r="AM5" s="28" t="s">
        <v>102</v>
      </c>
      <c r="AN5" s="28" t="s">
        <v>103</v>
      </c>
      <c r="AO5" s="28" t="s">
        <v>104</v>
      </c>
      <c r="AP5" s="83" t="s">
        <v>49</v>
      </c>
      <c r="AQ5" s="33"/>
      <c r="AR5" s="33"/>
      <c r="AY5" s="74"/>
    </row>
    <row r="6" spans="1:52" x14ac:dyDescent="0.25">
      <c r="A6" s="5" t="s">
        <v>94</v>
      </c>
      <c r="B6" s="4">
        <v>286278840.2954188</v>
      </c>
      <c r="C6" s="4">
        <v>23497414.696837816</v>
      </c>
      <c r="D6" s="4">
        <v>15805629.470000001</v>
      </c>
      <c r="E6" s="4">
        <f>+C6-D6</f>
        <v>7691785.2268378157</v>
      </c>
      <c r="F6" s="4">
        <v>23497414.696837816</v>
      </c>
      <c r="G6" s="4">
        <v>14566194.060000002</v>
      </c>
      <c r="H6" s="4">
        <f t="shared" ref="H6:H23" si="0">+F6-G6</f>
        <v>8931220.636837814</v>
      </c>
      <c r="I6" s="4">
        <f>+'202401anual'!E6</f>
        <v>23497414.696837816</v>
      </c>
      <c r="J6" s="4">
        <v>15128444.150000002</v>
      </c>
      <c r="K6" s="4">
        <f t="shared" ref="K6:K26" si="1">+I6-J6</f>
        <v>8368970.5468378142</v>
      </c>
      <c r="L6" s="4">
        <f>+'202401anual'!F6</f>
        <v>23497414.696837816</v>
      </c>
      <c r="M6" s="4">
        <v>14754207.850000001</v>
      </c>
      <c r="N6" s="4">
        <f t="shared" ref="N6:N14" si="2">+L6-M6</f>
        <v>8743206.8468378149</v>
      </c>
      <c r="O6" s="4">
        <f>+'202401anual'!G6</f>
        <v>23497414.696837816</v>
      </c>
      <c r="P6" s="4">
        <f>19927229.2-5575739.77</f>
        <v>14351489.43</v>
      </c>
      <c r="Q6" s="4">
        <f t="shared" ref="Q6:Q15" si="3">+O6-P6</f>
        <v>9145925.2668378167</v>
      </c>
      <c r="R6" s="4">
        <f>+'202401anual'!H6</f>
        <v>23497414.696837816</v>
      </c>
      <c r="S6" s="4">
        <f>17907380.93-5102605.82-2451.19</f>
        <v>12802323.92</v>
      </c>
      <c r="T6" s="4">
        <f t="shared" ref="T6:T14" si="4">+R6-S6</f>
        <v>10695090.776837816</v>
      </c>
      <c r="U6" s="4">
        <f>+'202401anual'!I6</f>
        <v>23497414.696837816</v>
      </c>
      <c r="V6" s="4">
        <f>17372384.52-4630236.71+280114.02-47003.98</f>
        <v>12975257.849999998</v>
      </c>
      <c r="W6" s="4">
        <f>+U6-V6</f>
        <v>10522156.846837819</v>
      </c>
      <c r="X6" s="4">
        <f>+'202401anual'!J6</f>
        <v>24359387.483510818</v>
      </c>
      <c r="Y6" s="4">
        <f>16615430.02-4338064.7+531210.19-113754.07</f>
        <v>12694821.439999999</v>
      </c>
      <c r="Z6" s="4">
        <f>+X6-Y6</f>
        <v>11664566.043510819</v>
      </c>
      <c r="AA6" s="4">
        <f>+'202401anual'!K6</f>
        <v>24359387.483510818</v>
      </c>
      <c r="AB6" s="4">
        <v>15766559.07</v>
      </c>
      <c r="AC6" s="4">
        <f t="shared" ref="AC6:AC26" si="5">+AA6-AB6</f>
        <v>8592828.413510818</v>
      </c>
      <c r="AD6" s="4">
        <v>24359387.483510818</v>
      </c>
      <c r="AE6" s="4">
        <f>15821566.89-4383772.5+1213139.52+13116+471524.1-155603.1+9837</f>
        <v>12989807.91</v>
      </c>
      <c r="AF6" s="4">
        <f t="shared" ref="AF6:AF14" si="6">+AD6-AE6</f>
        <v>11369579.573510818</v>
      </c>
      <c r="AG6" s="4">
        <f>+'202401anual'!M6</f>
        <v>24359387.483510818</v>
      </c>
      <c r="AH6" s="4">
        <f>14174582.93-4032646.86-359000+335977.28+32484+11477+180061.81+752803.97-167975.76+56331.52</f>
        <v>10984095.890000001</v>
      </c>
      <c r="AI6" s="4">
        <f t="shared" ref="AI6:AI14" si="7">+AG6-AH6</f>
        <v>13375291.593510818</v>
      </c>
      <c r="AJ6" s="4"/>
      <c r="AK6" s="4"/>
      <c r="AL6" s="4">
        <f t="shared" ref="AL6:AL26" si="8">+AJ6-AK6</f>
        <v>0</v>
      </c>
      <c r="AM6" s="4">
        <f>+C6+F6+I6+L6+O6+R6+U6+X6+AA6+AD6+AG6+AJ6</f>
        <v>261919452.81190801</v>
      </c>
      <c r="AN6" s="4">
        <f>+D6+G6+J6+M6+P6+S6+V6+Y6+AB6+AE6+AH6+AK6</f>
        <v>152818831.04000002</v>
      </c>
      <c r="AO6" s="4">
        <f>+AM6-AN6</f>
        <v>109100621.77190799</v>
      </c>
      <c r="AP6" s="43">
        <f t="shared" ref="AP6:AP12" si="9">+AO6/AM6</f>
        <v>0.4165426454607643</v>
      </c>
      <c r="AQ6" s="34">
        <f>+E6+H6+K6+N6+Q6+T6+W6+Z6+AC6+AF6-AO6+AI6</f>
        <v>0</v>
      </c>
      <c r="AR6" s="34"/>
      <c r="AS6" s="2"/>
    </row>
    <row r="7" spans="1:52" x14ac:dyDescent="0.25">
      <c r="A7" s="5" t="s">
        <v>95</v>
      </c>
      <c r="B7" s="4">
        <v>841051204.84357905</v>
      </c>
      <c r="C7" s="4">
        <v>69032447.25</v>
      </c>
      <c r="D7" s="4">
        <v>30068689.579999998</v>
      </c>
      <c r="E7" s="4">
        <f t="shared" ref="E7:E15" si="10">+C7-D7</f>
        <v>38963757.670000002</v>
      </c>
      <c r="F7" s="4">
        <v>69032447.25</v>
      </c>
      <c r="G7" s="4">
        <v>38062935.499999993</v>
      </c>
      <c r="H7" s="4">
        <f t="shared" si="0"/>
        <v>30969511.750000007</v>
      </c>
      <c r="I7" s="4">
        <f>+'202401anual'!E7</f>
        <v>69032447.25</v>
      </c>
      <c r="J7" s="4">
        <v>40612168.799999997</v>
      </c>
      <c r="K7" s="4">
        <f t="shared" si="1"/>
        <v>28420278.450000003</v>
      </c>
      <c r="L7" s="4">
        <f>+'202401anual'!F7</f>
        <v>69032447.25</v>
      </c>
      <c r="M7" s="4">
        <v>42649191.109999999</v>
      </c>
      <c r="N7" s="4">
        <f t="shared" si="2"/>
        <v>26383256.140000001</v>
      </c>
      <c r="O7" s="4">
        <f>+'202401anual'!G7</f>
        <v>69032447.25</v>
      </c>
      <c r="P7" s="4">
        <f>48042507.02-8120796.67+336465+82086.37-852434</f>
        <v>39487827.719999999</v>
      </c>
      <c r="Q7" s="4">
        <f t="shared" si="3"/>
        <v>29544619.530000001</v>
      </c>
      <c r="R7" s="4">
        <f>+'202401anual'!H7</f>
        <v>69032447.25</v>
      </c>
      <c r="S7" s="4">
        <f>48330866.33-7400322.1+312926+69302.63+46066</f>
        <v>41358838.859999999</v>
      </c>
      <c r="T7" s="4">
        <f t="shared" si="4"/>
        <v>27673608.390000001</v>
      </c>
      <c r="U7" s="4">
        <f>+'202401anual'!I7</f>
        <v>69032447.25</v>
      </c>
      <c r="V7" s="4">
        <f>40456838.9-4146554.84+646536.21-115048.64</f>
        <v>36841771.630000003</v>
      </c>
      <c r="W7" s="4">
        <f t="shared" ref="W7:W15" si="11">+U7-V7</f>
        <v>32190675.619999997</v>
      </c>
      <c r="X7" s="4">
        <f>+'202401anual'!J7</f>
        <v>71564814.81871587</v>
      </c>
      <c r="Y7" s="4">
        <f>30898095.11-4542648.85+79409+394942.18+513621.24-166241.96</f>
        <v>27177176.719999995</v>
      </c>
      <c r="Z7" s="4">
        <f>+X7-Y7</f>
        <v>44387638.098715872</v>
      </c>
      <c r="AA7" s="4">
        <f>+'202401anual'!K7</f>
        <v>71564814.81871587</v>
      </c>
      <c r="AB7" s="4">
        <v>25242779.259999998</v>
      </c>
      <c r="AC7" s="4">
        <f t="shared" si="5"/>
        <v>46322035.558715872</v>
      </c>
      <c r="AD7" s="4">
        <v>71564814.81871587</v>
      </c>
      <c r="AE7" s="4">
        <f>29371934.46-4924633.4+799499.83-214479.69</f>
        <v>25032321.199999999</v>
      </c>
      <c r="AF7" s="4">
        <f t="shared" si="6"/>
        <v>46532493.618715867</v>
      </c>
      <c r="AG7" s="4">
        <f>+'202401anual'!M7</f>
        <v>71564814.81871587</v>
      </c>
      <c r="AH7" s="4">
        <f>19861694.23-3420296.39+1594696.02-290082.29</f>
        <v>17746011.57</v>
      </c>
      <c r="AI7" s="4">
        <f t="shared" si="7"/>
        <v>53818803.24871587</v>
      </c>
      <c r="AJ7" s="4"/>
      <c r="AK7" s="4"/>
      <c r="AL7" s="4">
        <f t="shared" si="8"/>
        <v>0</v>
      </c>
      <c r="AM7" s="4">
        <f t="shared" ref="AM7:AM15" si="12">+C7+F7+I7+L7+O7+R7+U7+X7+AA7+AD7+AG7+AJ7</f>
        <v>769486390.02486324</v>
      </c>
      <c r="AN7" s="4">
        <f t="shared" ref="AN7:AN15" si="13">+D7+G7+J7+M7+P7+S7+V7+Y7+AB7+AE7+AH7+AK7</f>
        <v>364279711.94999993</v>
      </c>
      <c r="AO7" s="4">
        <f t="shared" ref="AO7:AO15" si="14">+AM7-AN7</f>
        <v>405206678.07486331</v>
      </c>
      <c r="AP7" s="43">
        <f t="shared" si="9"/>
        <v>0.5265936907107226</v>
      </c>
      <c r="AQ7" s="34">
        <f t="shared" ref="AQ7:AQ70" si="15">+E7+H7+K7+N7+Q7+T7+W7+Z7+AC7+AF7-AO7+AI7</f>
        <v>1.7136335372924805E-7</v>
      </c>
      <c r="AR7" s="34"/>
      <c r="AS7" s="2"/>
    </row>
    <row r="8" spans="1:52" x14ac:dyDescent="0.25">
      <c r="A8" s="5" t="s">
        <v>127</v>
      </c>
      <c r="B8" s="4">
        <v>18000000</v>
      </c>
      <c r="C8" s="4">
        <v>1500000</v>
      </c>
      <c r="D8" s="4">
        <v>14450608.33</v>
      </c>
      <c r="E8" s="4">
        <f t="shared" si="10"/>
        <v>-12950608.33</v>
      </c>
      <c r="F8" s="4">
        <v>1500000</v>
      </c>
      <c r="G8" s="4">
        <v>15986714.09</v>
      </c>
      <c r="H8" s="4">
        <f t="shared" si="0"/>
        <v>-14486714.09</v>
      </c>
      <c r="I8" s="4">
        <f>+'202401anual'!E8</f>
        <v>1500000</v>
      </c>
      <c r="J8" s="4">
        <v>14963535.380000001</v>
      </c>
      <c r="K8" s="4">
        <f t="shared" si="1"/>
        <v>-13463535.380000001</v>
      </c>
      <c r="L8" s="4">
        <f>+'202401anual'!F8</f>
        <v>1500000</v>
      </c>
      <c r="M8" s="4">
        <v>16008150.33</v>
      </c>
      <c r="N8" s="4">
        <f t="shared" si="2"/>
        <v>-14508150.33</v>
      </c>
      <c r="O8" s="4">
        <f>+'202401anual'!G8</f>
        <v>1500000</v>
      </c>
      <c r="P8" s="4">
        <v>17274033.98</v>
      </c>
      <c r="Q8" s="4">
        <f t="shared" si="3"/>
        <v>-15774033.98</v>
      </c>
      <c r="R8" s="4">
        <f>+'202401anual'!H8</f>
        <v>1500000</v>
      </c>
      <c r="S8" s="4">
        <v>15741531.18</v>
      </c>
      <c r="T8" s="4">
        <f t="shared" si="4"/>
        <v>-14241531.18</v>
      </c>
      <c r="U8" s="4">
        <f>+'202401anual'!I8</f>
        <v>1500000</v>
      </c>
      <c r="V8" s="4">
        <f>13661656.56+70374</f>
        <v>13732030.560000001</v>
      </c>
      <c r="W8" s="4">
        <f t="shared" si="11"/>
        <v>-12232030.560000001</v>
      </c>
      <c r="X8" s="4">
        <f>+'202401anual'!J8</f>
        <v>1500000</v>
      </c>
      <c r="Y8" s="4">
        <f>13387347.12+190211.56</f>
        <v>13577558.68</v>
      </c>
      <c r="Z8" s="4">
        <f>+X8-Y8</f>
        <v>-12077558.68</v>
      </c>
      <c r="AA8" s="4">
        <f>+'202401anual'!K8</f>
        <v>1500000</v>
      </c>
      <c r="AB8" s="4">
        <v>15369866.75</v>
      </c>
      <c r="AC8" s="4">
        <f t="shared" si="5"/>
        <v>-13869866.75</v>
      </c>
      <c r="AD8" s="4">
        <v>1500000</v>
      </c>
      <c r="AE8" s="4">
        <f>11757772.78+450494.05</f>
        <v>12208266.83</v>
      </c>
      <c r="AF8" s="4">
        <f t="shared" si="6"/>
        <v>-10708266.83</v>
      </c>
      <c r="AG8" s="4">
        <f>+'202401anual'!M8</f>
        <v>1500000</v>
      </c>
      <c r="AH8" s="4">
        <f>10168215.3+453046</f>
        <v>10621261.300000001</v>
      </c>
      <c r="AI8" s="4">
        <f t="shared" si="7"/>
        <v>-9121261.3000000007</v>
      </c>
      <c r="AJ8" s="4"/>
      <c r="AK8" s="4"/>
      <c r="AL8" s="4"/>
      <c r="AM8" s="4">
        <f t="shared" si="12"/>
        <v>16500000</v>
      </c>
      <c r="AN8" s="4">
        <f t="shared" si="13"/>
        <v>159933557.41000003</v>
      </c>
      <c r="AO8" s="4">
        <f t="shared" si="14"/>
        <v>-143433557.41000003</v>
      </c>
      <c r="AP8" s="43">
        <f t="shared" si="9"/>
        <v>-8.6929428733333349</v>
      </c>
      <c r="AQ8" s="34">
        <f t="shared" si="15"/>
        <v>0</v>
      </c>
      <c r="AR8" s="34"/>
      <c r="AS8" s="2"/>
    </row>
    <row r="9" spans="1:52" x14ac:dyDescent="0.25">
      <c r="A9" s="5" t="s">
        <v>191</v>
      </c>
      <c r="B9" s="4">
        <v>792000</v>
      </c>
      <c r="C9" s="4">
        <v>66000</v>
      </c>
      <c r="D9" s="4">
        <v>429451.91</v>
      </c>
      <c r="E9" s="4">
        <f t="shared" si="10"/>
        <v>-363451.91</v>
      </c>
      <c r="F9" s="4">
        <v>66000</v>
      </c>
      <c r="G9" s="4">
        <v>1995582.17</v>
      </c>
      <c r="H9" s="4">
        <f t="shared" si="0"/>
        <v>-1929582.17</v>
      </c>
      <c r="I9" s="4">
        <f>+'202401anual'!E9</f>
        <v>66000</v>
      </c>
      <c r="J9" s="4">
        <v>428559.35999999999</v>
      </c>
      <c r="K9" s="4">
        <f t="shared" si="1"/>
        <v>-362559.36</v>
      </c>
      <c r="L9" s="4">
        <f>+'202401anual'!F9</f>
        <v>66000</v>
      </c>
      <c r="M9" s="4">
        <v>774889.04</v>
      </c>
      <c r="N9" s="4">
        <f t="shared" si="2"/>
        <v>-708889.04</v>
      </c>
      <c r="O9" s="4">
        <f>+'202401anual'!G9</f>
        <v>66000</v>
      </c>
      <c r="P9" s="4">
        <f>396600+391419+160794.4+114290+236291.62</f>
        <v>1299395.02</v>
      </c>
      <c r="Q9" s="4">
        <f t="shared" si="3"/>
        <v>-1233395.02</v>
      </c>
      <c r="R9" s="4">
        <f>+'202401anual'!H9</f>
        <v>66000</v>
      </c>
      <c r="S9" s="4">
        <f>273500+290218+120595.8+320698.43</f>
        <v>1005012.23</v>
      </c>
      <c r="T9" s="4">
        <f t="shared" si="4"/>
        <v>-939012.23</v>
      </c>
      <c r="U9" s="4">
        <f>+'202401anual'!I9</f>
        <v>66000</v>
      </c>
      <c r="V9" s="4">
        <v>4669852.6599999852</v>
      </c>
      <c r="W9" s="4">
        <f t="shared" si="11"/>
        <v>-4603852.6599999852</v>
      </c>
      <c r="X9" s="4">
        <f>+'202401anual'!J9</f>
        <v>66000</v>
      </c>
      <c r="Y9" s="4">
        <f>307981.28+229766+4018.6+15100+178922+118213</f>
        <v>854000.88</v>
      </c>
      <c r="Z9" s="4">
        <f t="shared" ref="Z9:Z15" si="16">+X9-Y9</f>
        <v>-788000.88</v>
      </c>
      <c r="AA9" s="4">
        <f>+'202401anual'!K9</f>
        <v>66000</v>
      </c>
      <c r="AB9" s="4">
        <v>2801369.5999999996</v>
      </c>
      <c r="AC9" s="4">
        <f t="shared" si="5"/>
        <v>-2735369.5999999996</v>
      </c>
      <c r="AD9" s="4">
        <v>66000</v>
      </c>
      <c r="AE9" s="4">
        <f>393100+1240367+15175.19+418294.64+1387.65+27000+160.26</f>
        <v>2095484.74</v>
      </c>
      <c r="AF9" s="4">
        <f t="shared" si="6"/>
        <v>-2029484.74</v>
      </c>
      <c r="AG9" s="4">
        <f>+'202401anual'!M9</f>
        <v>66000</v>
      </c>
      <c r="AH9" s="4">
        <f>316218.72+1172649+40198.6-295.65+18000+31002+35764.8+150.19</f>
        <v>1613687.6600000001</v>
      </c>
      <c r="AI9" s="4">
        <f t="shared" si="7"/>
        <v>-1547687.6600000001</v>
      </c>
      <c r="AJ9" s="4"/>
      <c r="AK9" s="4"/>
      <c r="AL9" s="4">
        <f t="shared" si="8"/>
        <v>0</v>
      </c>
      <c r="AM9" s="4">
        <f t="shared" si="12"/>
        <v>726000</v>
      </c>
      <c r="AN9" s="4">
        <f t="shared" si="13"/>
        <v>17967285.269999988</v>
      </c>
      <c r="AO9" s="4">
        <f t="shared" si="14"/>
        <v>-17241285.269999988</v>
      </c>
      <c r="AP9" s="43">
        <f t="shared" si="9"/>
        <v>-23.748326818181802</v>
      </c>
      <c r="AQ9" s="34">
        <f t="shared" si="15"/>
        <v>1.862645149230957E-9</v>
      </c>
      <c r="AR9" s="34"/>
      <c r="AS9" s="2"/>
    </row>
    <row r="10" spans="1:52" x14ac:dyDescent="0.25">
      <c r="A10" s="5" t="s">
        <v>129</v>
      </c>
      <c r="B10" s="4">
        <v>1320797910.4947624</v>
      </c>
      <c r="C10" s="4">
        <v>80662092.893341199</v>
      </c>
      <c r="D10" s="4">
        <v>50172392.219999991</v>
      </c>
      <c r="E10" s="4">
        <f t="shared" si="10"/>
        <v>30489700.673341207</v>
      </c>
      <c r="F10" s="4">
        <v>87150663.773341209</v>
      </c>
      <c r="G10" s="4">
        <v>52110666.880000003</v>
      </c>
      <c r="H10" s="4">
        <f t="shared" si="0"/>
        <v>35039996.893341206</v>
      </c>
      <c r="I10" s="4">
        <f>+'202401anual'!E10</f>
        <v>93639234.653341204</v>
      </c>
      <c r="J10" s="4">
        <v>49072414.280000001</v>
      </c>
      <c r="K10" s="4">
        <f t="shared" si="1"/>
        <v>44566820.373341203</v>
      </c>
      <c r="L10" s="4">
        <f>+'202401anual'!F10</f>
        <v>100127805.5333412</v>
      </c>
      <c r="M10" s="4">
        <v>57886367.840000004</v>
      </c>
      <c r="N10" s="4">
        <f t="shared" si="2"/>
        <v>42241437.693341196</v>
      </c>
      <c r="O10" s="4">
        <f>+'202401anual'!G10</f>
        <v>106616376.41334119</v>
      </c>
      <c r="P10" s="4">
        <f>87407983.87-35651518</f>
        <v>51756465.870000005</v>
      </c>
      <c r="Q10" s="4">
        <f t="shared" si="3"/>
        <v>54859910.54334119</v>
      </c>
      <c r="R10" s="4">
        <f>+'202401anual'!H10</f>
        <v>113104947.2933412</v>
      </c>
      <c r="S10" s="4">
        <f>24328811.96+2590042.81+19551983.55+465755.14</f>
        <v>46936593.460000001</v>
      </c>
      <c r="T10" s="4">
        <f t="shared" si="4"/>
        <v>66168353.833341204</v>
      </c>
      <c r="U10" s="4">
        <f>+'202401anual'!I10</f>
        <v>119593518.1733412</v>
      </c>
      <c r="V10" s="4">
        <f>58664633.42-2423725.9-603001.25+419639.63</f>
        <v>56057545.900000006</v>
      </c>
      <c r="W10" s="4">
        <f t="shared" si="11"/>
        <v>63535972.273341194</v>
      </c>
      <c r="X10" s="4">
        <f>+'202401anual'!J10</f>
        <v>123980654.35227481</v>
      </c>
      <c r="Y10" s="96">
        <f>28503249.11+2584671.14+21532393.55+960758.78+835142.45+99330+487357.27+19820.57+0.81</f>
        <v>55022723.680000007</v>
      </c>
      <c r="Z10" s="4">
        <f t="shared" si="16"/>
        <v>68957930.672274798</v>
      </c>
      <c r="AA10" s="4">
        <f>+'202401anual'!K10</f>
        <v>123980654.35227481</v>
      </c>
      <c r="AB10" s="4">
        <v>63263564.399999999</v>
      </c>
      <c r="AC10" s="4">
        <f t="shared" si="5"/>
        <v>60717089.952274807</v>
      </c>
      <c r="AD10" s="4">
        <v>123980654.35227481</v>
      </c>
      <c r="AE10" s="4">
        <f>26380101.16+2184993.62+19350383.15+850403.44+751038.61+56782.49+476217.8+20450.63+15745326+3139885.69</f>
        <v>68955582.590000004</v>
      </c>
      <c r="AF10" s="4">
        <f t="shared" si="6"/>
        <v>55025071.762274802</v>
      </c>
      <c r="AG10" s="4">
        <f>+'202401anual'!M10</f>
        <v>123980654.35227481</v>
      </c>
      <c r="AH10" s="4">
        <f>25194803.4+1906195.29+17788541.01+660076.01+1586024.2+157993.14+1168302.95+86502.72-1565571.89</f>
        <v>46982866.830000006</v>
      </c>
      <c r="AI10" s="4">
        <f t="shared" si="7"/>
        <v>76997787.522274792</v>
      </c>
      <c r="AJ10" s="4"/>
      <c r="AK10" s="4"/>
      <c r="AL10" s="4">
        <f t="shared" si="8"/>
        <v>0</v>
      </c>
      <c r="AM10" s="4">
        <f t="shared" si="12"/>
        <v>1196817256.1424875</v>
      </c>
      <c r="AN10" s="4">
        <f t="shared" si="13"/>
        <v>598217183.95000005</v>
      </c>
      <c r="AO10" s="4">
        <f t="shared" si="14"/>
        <v>598600072.19248748</v>
      </c>
      <c r="AP10" s="43">
        <f t="shared" si="9"/>
        <v>0.50015996103019167</v>
      </c>
      <c r="AQ10" s="34">
        <f t="shared" si="15"/>
        <v>1.1920928955078125E-7</v>
      </c>
      <c r="AR10" s="34"/>
      <c r="AS10" s="2"/>
    </row>
    <row r="11" spans="1:52" x14ac:dyDescent="0.25">
      <c r="A11" s="5" t="s">
        <v>183</v>
      </c>
      <c r="B11" s="4">
        <v>3454191.2229688521</v>
      </c>
      <c r="C11" s="4">
        <v>283515.76220065932</v>
      </c>
      <c r="D11" s="4">
        <v>72195.45</v>
      </c>
      <c r="E11" s="4">
        <f t="shared" si="10"/>
        <v>211320.3122006593</v>
      </c>
      <c r="F11" s="4">
        <v>283515.76220065932</v>
      </c>
      <c r="G11" s="4">
        <v>118064.23</v>
      </c>
      <c r="H11" s="4">
        <f t="shared" si="0"/>
        <v>165451.53220065933</v>
      </c>
      <c r="I11" s="4">
        <f>+'202401anual'!E11</f>
        <v>283515.76220065932</v>
      </c>
      <c r="J11" s="4">
        <v>97914.359999999986</v>
      </c>
      <c r="K11" s="4">
        <f t="shared" si="1"/>
        <v>185601.40220065933</v>
      </c>
      <c r="L11" s="4">
        <f>+'202401anual'!F11</f>
        <v>283515.76220065932</v>
      </c>
      <c r="M11" s="4">
        <v>191474.78000000003</v>
      </c>
      <c r="N11" s="4">
        <f t="shared" si="2"/>
        <v>92040.982200659288</v>
      </c>
      <c r="O11" s="4">
        <f>+'202401anual'!G11</f>
        <v>283515.76220065932</v>
      </c>
      <c r="P11" s="4">
        <f>206677.8-88105.05</f>
        <v>118572.74999999999</v>
      </c>
      <c r="Q11" s="4">
        <f t="shared" si="3"/>
        <v>164943.01220065932</v>
      </c>
      <c r="R11" s="4">
        <f>+'202401anual'!H11</f>
        <v>283515.76220065932</v>
      </c>
      <c r="S11" s="4">
        <f>273797.66-110170.46</f>
        <v>163627.19999999995</v>
      </c>
      <c r="T11" s="4">
        <f t="shared" si="4"/>
        <v>119888.56220065936</v>
      </c>
      <c r="U11" s="4">
        <f>+'202401anual'!I11</f>
        <v>283515.76220065932</v>
      </c>
      <c r="V11" s="4">
        <f>191755.58-84644.07</f>
        <v>107111.50999999998</v>
      </c>
      <c r="W11" s="4">
        <f t="shared" si="11"/>
        <v>176404.25220065934</v>
      </c>
      <c r="X11" s="4">
        <f>+'202401anual'!J11</f>
        <v>293916.17751284735</v>
      </c>
      <c r="Y11" s="4">
        <f>32926.28-13170.53+133243.16-63747</f>
        <v>89251.91</v>
      </c>
      <c r="Z11" s="4">
        <f t="shared" si="16"/>
        <v>204664.26751284735</v>
      </c>
      <c r="AA11" s="4">
        <f>+'202401anual'!K11</f>
        <v>293916.17751284735</v>
      </c>
      <c r="AB11" s="4">
        <v>134854.16</v>
      </c>
      <c r="AC11" s="4">
        <f t="shared" si="5"/>
        <v>159062.01751284735</v>
      </c>
      <c r="AD11" s="4">
        <v>293916.17751284735</v>
      </c>
      <c r="AE11" s="4">
        <f>175554.54-78163.65</f>
        <v>97390.890000000014</v>
      </c>
      <c r="AF11" s="4">
        <f t="shared" si="6"/>
        <v>196525.28751284734</v>
      </c>
      <c r="AG11" s="4">
        <f>+'202401anual'!M11</f>
        <v>293916.17751284735</v>
      </c>
      <c r="AH11" s="4">
        <f>100316.88-40544.79+16719.48-6687.8</f>
        <v>69803.77</v>
      </c>
      <c r="AI11" s="4">
        <f t="shared" si="7"/>
        <v>224112.40751284733</v>
      </c>
      <c r="AJ11" s="4"/>
      <c r="AK11" s="4"/>
      <c r="AL11" s="4">
        <f t="shared" si="8"/>
        <v>0</v>
      </c>
      <c r="AM11" s="4">
        <f t="shared" si="12"/>
        <v>3160275.0454560048</v>
      </c>
      <c r="AN11" s="4">
        <f t="shared" si="13"/>
        <v>1260261.0099999998</v>
      </c>
      <c r="AO11" s="4">
        <f t="shared" si="14"/>
        <v>1900014.035456005</v>
      </c>
      <c r="AP11" s="43">
        <f t="shared" si="9"/>
        <v>0.60121793455539141</v>
      </c>
      <c r="AQ11" s="34">
        <f t="shared" si="15"/>
        <v>0</v>
      </c>
      <c r="AR11" s="34"/>
      <c r="AS11" s="2"/>
      <c r="AT11" s="2"/>
    </row>
    <row r="12" spans="1:52" x14ac:dyDescent="0.25">
      <c r="A12" s="5" t="s">
        <v>184</v>
      </c>
      <c r="B12" s="4">
        <v>5851039.1350167179</v>
      </c>
      <c r="C12" s="4">
        <v>480246.0874196685</v>
      </c>
      <c r="D12" s="4">
        <v>71007</v>
      </c>
      <c r="E12" s="4">
        <f t="shared" si="10"/>
        <v>409239.0874196685</v>
      </c>
      <c r="F12" s="4">
        <v>480246.0874196685</v>
      </c>
      <c r="G12" s="4">
        <v>308136.26</v>
      </c>
      <c r="H12" s="4">
        <f t="shared" si="0"/>
        <v>172109.82741966849</v>
      </c>
      <c r="I12" s="4">
        <f>+'202401anual'!E12</f>
        <v>480246.0874196685</v>
      </c>
      <c r="J12" s="4">
        <v>94900.36</v>
      </c>
      <c r="K12" s="4">
        <f t="shared" si="1"/>
        <v>385345.72741966852</v>
      </c>
      <c r="L12" s="4">
        <f>+'202401anual'!F12</f>
        <v>480246.0874196685</v>
      </c>
      <c r="M12" s="4">
        <v>238292.10000000003</v>
      </c>
      <c r="N12" s="4">
        <f t="shared" si="2"/>
        <v>241953.98741966847</v>
      </c>
      <c r="O12" s="4">
        <f>+'202401anual'!G12</f>
        <v>480246.0874196685</v>
      </c>
      <c r="P12" s="4">
        <f>239849.55-104438.1</f>
        <v>135411.44999999998</v>
      </c>
      <c r="Q12" s="4">
        <f t="shared" si="3"/>
        <v>344834.63741966849</v>
      </c>
      <c r="R12" s="4">
        <f>+'202401anual'!H12</f>
        <v>480246.0874196685</v>
      </c>
      <c r="S12" s="4">
        <f>344921.09-126506.25</f>
        <v>218414.84000000003</v>
      </c>
      <c r="T12" s="4">
        <f t="shared" si="4"/>
        <v>261831.24741966848</v>
      </c>
      <c r="U12" s="4">
        <f>+'202401anual'!I12</f>
        <v>480246.0874196685</v>
      </c>
      <c r="V12" s="4">
        <f>84084.6-37882.65</f>
        <v>46201.950000000004</v>
      </c>
      <c r="W12" s="4">
        <f t="shared" si="11"/>
        <v>434044.13741966849</v>
      </c>
      <c r="X12" s="4">
        <f>+'202401anual'!J12</f>
        <v>497863.30461580743</v>
      </c>
      <c r="Y12" s="4">
        <f>28320.9-11328.6+249589.05-108334</f>
        <v>158247.34999999998</v>
      </c>
      <c r="Z12" s="4">
        <f t="shared" si="16"/>
        <v>339615.95461580745</v>
      </c>
      <c r="AA12" s="4">
        <f>+'202401anual'!K12</f>
        <v>497863.30461580743</v>
      </c>
      <c r="AB12" s="4">
        <v>190987.7</v>
      </c>
      <c r="AC12" s="4">
        <f t="shared" si="5"/>
        <v>306875.60461580742</v>
      </c>
      <c r="AD12" s="4">
        <v>497863.30461580743</v>
      </c>
      <c r="AE12" s="4">
        <f>221847.05-101484.85</f>
        <v>120362.19999999998</v>
      </c>
      <c r="AF12" s="4">
        <f t="shared" si="6"/>
        <v>377501.10461580742</v>
      </c>
      <c r="AG12" s="4">
        <f>+'202401anual'!M12</f>
        <v>497863.30461580743</v>
      </c>
      <c r="AH12" s="4">
        <f>155764.95-66555.3+28320.9-11328.6</f>
        <v>106201.95000000001</v>
      </c>
      <c r="AI12" s="4">
        <f t="shared" si="7"/>
        <v>391661.35461580742</v>
      </c>
      <c r="AJ12" s="4"/>
      <c r="AK12" s="4"/>
      <c r="AL12" s="4">
        <f t="shared" si="8"/>
        <v>0</v>
      </c>
      <c r="AM12" s="4">
        <f t="shared" si="12"/>
        <v>5353175.8304009102</v>
      </c>
      <c r="AN12" s="4">
        <f t="shared" si="13"/>
        <v>1688163.16</v>
      </c>
      <c r="AO12" s="4">
        <f t="shared" si="14"/>
        <v>3665012.6704009101</v>
      </c>
      <c r="AP12" s="43">
        <f t="shared" si="9"/>
        <v>0.68464268436451303</v>
      </c>
      <c r="AQ12" s="34">
        <f t="shared" si="15"/>
        <v>-5.8207660913467407E-10</v>
      </c>
      <c r="AR12" s="34"/>
      <c r="AS12" s="2"/>
      <c r="AT12" s="2"/>
      <c r="AU12" s="2"/>
    </row>
    <row r="13" spans="1:52" x14ac:dyDescent="0.25">
      <c r="A13" s="5" t="s">
        <v>196</v>
      </c>
      <c r="B13" s="4">
        <v>0</v>
      </c>
      <c r="C13" s="4">
        <v>0</v>
      </c>
      <c r="D13" s="4">
        <v>36936117.219999999</v>
      </c>
      <c r="E13" s="4">
        <f t="shared" si="10"/>
        <v>-36936117.219999999</v>
      </c>
      <c r="F13" s="4"/>
      <c r="G13" s="4"/>
      <c r="H13" s="4">
        <f t="shared" si="0"/>
        <v>0</v>
      </c>
      <c r="I13" s="4">
        <v>0</v>
      </c>
      <c r="J13" s="4"/>
      <c r="K13" s="4">
        <f t="shared" si="1"/>
        <v>0</v>
      </c>
      <c r="L13" s="4">
        <f>+'202401anual'!F13</f>
        <v>0</v>
      </c>
      <c r="M13" s="4">
        <v>27839316</v>
      </c>
      <c r="N13" s="4">
        <f t="shared" si="2"/>
        <v>-27839316</v>
      </c>
      <c r="O13" s="4"/>
      <c r="P13" s="4">
        <v>65745334</v>
      </c>
      <c r="Q13" s="4">
        <f t="shared" si="3"/>
        <v>-65745334</v>
      </c>
      <c r="R13" s="4">
        <f>+'202401anual'!H13</f>
        <v>0</v>
      </c>
      <c r="S13" s="4"/>
      <c r="T13" s="4"/>
      <c r="U13" s="4">
        <v>0</v>
      </c>
      <c r="V13" s="4">
        <v>23838287</v>
      </c>
      <c r="W13" s="4">
        <f t="shared" si="11"/>
        <v>-23838287</v>
      </c>
      <c r="X13" s="4">
        <v>0</v>
      </c>
      <c r="Y13" s="4">
        <v>75433100</v>
      </c>
      <c r="Z13" s="4">
        <f t="shared" si="16"/>
        <v>-75433100</v>
      </c>
      <c r="AA13" s="4">
        <f>+'202401anual'!K13</f>
        <v>0</v>
      </c>
      <c r="AB13" s="4">
        <v>40156006</v>
      </c>
      <c r="AC13" s="4">
        <f t="shared" si="5"/>
        <v>-40156006</v>
      </c>
      <c r="AD13" s="4">
        <v>0</v>
      </c>
      <c r="AE13" s="4"/>
      <c r="AF13" s="4">
        <f t="shared" si="6"/>
        <v>0</v>
      </c>
      <c r="AG13" s="4">
        <v>0</v>
      </c>
      <c r="AH13" s="4">
        <f>81728683.49+43591192.93</f>
        <v>125319876.41999999</v>
      </c>
      <c r="AI13" s="4">
        <f t="shared" si="7"/>
        <v>-125319876.41999999</v>
      </c>
      <c r="AJ13" s="4"/>
      <c r="AK13" s="4"/>
      <c r="AL13" s="4"/>
      <c r="AM13" s="4">
        <f t="shared" si="12"/>
        <v>0</v>
      </c>
      <c r="AN13" s="4">
        <f>+D13+G13+J13+M13+P13+S13+V13+Y13+AB13+AE13+AH13+AK13</f>
        <v>395268036.63999999</v>
      </c>
      <c r="AO13" s="4">
        <f t="shared" si="14"/>
        <v>-395268036.63999999</v>
      </c>
      <c r="AP13" s="29" t="e">
        <f>+AO13/AM13</f>
        <v>#DIV/0!</v>
      </c>
      <c r="AQ13" s="34">
        <f t="shared" si="15"/>
        <v>0</v>
      </c>
      <c r="AR13" s="34"/>
      <c r="AS13" s="2"/>
      <c r="AT13" s="2"/>
      <c r="AU13" s="2"/>
    </row>
    <row r="14" spans="1:52" x14ac:dyDescent="0.25">
      <c r="A14" s="5" t="s">
        <v>194</v>
      </c>
      <c r="B14" s="4">
        <v>0</v>
      </c>
      <c r="C14" s="4">
        <v>0</v>
      </c>
      <c r="D14" s="4">
        <v>0</v>
      </c>
      <c r="E14" s="4">
        <f t="shared" si="10"/>
        <v>0</v>
      </c>
      <c r="F14" s="4">
        <v>0</v>
      </c>
      <c r="G14" s="4">
        <v>1429805.74</v>
      </c>
      <c r="H14" s="4">
        <f t="shared" si="0"/>
        <v>-1429805.74</v>
      </c>
      <c r="I14" s="4">
        <v>0</v>
      </c>
      <c r="J14" s="4">
        <v>2114148.9500000002</v>
      </c>
      <c r="K14" s="4">
        <f t="shared" si="1"/>
        <v>-2114148.9500000002</v>
      </c>
      <c r="L14" s="4">
        <v>0</v>
      </c>
      <c r="M14" s="4">
        <v>2903838.58</v>
      </c>
      <c r="N14" s="4">
        <f t="shared" si="2"/>
        <v>-2903838.58</v>
      </c>
      <c r="O14" s="4"/>
      <c r="P14" s="4">
        <v>2500865.9900000002</v>
      </c>
      <c r="Q14" s="4">
        <f t="shared" si="3"/>
        <v>-2500865.9900000002</v>
      </c>
      <c r="R14" s="4"/>
      <c r="S14" s="4">
        <v>7241373.9199999999</v>
      </c>
      <c r="T14" s="4">
        <f t="shared" si="4"/>
        <v>-7241373.9199999999</v>
      </c>
      <c r="U14" s="4">
        <v>0</v>
      </c>
      <c r="V14" s="4">
        <v>4696694.25</v>
      </c>
      <c r="W14" s="4">
        <f t="shared" si="11"/>
        <v>-4696694.25</v>
      </c>
      <c r="X14" s="4">
        <v>0</v>
      </c>
      <c r="Y14" s="4">
        <f>3199632.35+69671.82</f>
        <v>3269304.17</v>
      </c>
      <c r="Z14" s="4">
        <f t="shared" si="16"/>
        <v>-3269304.17</v>
      </c>
      <c r="AA14" s="4">
        <v>0</v>
      </c>
      <c r="AB14" s="4">
        <v>4012631.13</v>
      </c>
      <c r="AC14" s="4">
        <f t="shared" si="5"/>
        <v>-4012631.13</v>
      </c>
      <c r="AD14" s="4">
        <v>0</v>
      </c>
      <c r="AE14" s="4">
        <f>3202530.42+106260.09</f>
        <v>3308790.51</v>
      </c>
      <c r="AF14" s="4">
        <f t="shared" si="6"/>
        <v>-3308790.51</v>
      </c>
      <c r="AG14" s="4">
        <v>0</v>
      </c>
      <c r="AH14" s="4">
        <f>3425583.93+137002.64</f>
        <v>3562586.5700000003</v>
      </c>
      <c r="AI14" s="4">
        <f t="shared" si="7"/>
        <v>-3562586.5700000003</v>
      </c>
      <c r="AJ14" s="4"/>
      <c r="AK14" s="4"/>
      <c r="AL14" s="4"/>
      <c r="AM14" s="4">
        <f t="shared" si="12"/>
        <v>0</v>
      </c>
      <c r="AN14" s="4">
        <f t="shared" si="13"/>
        <v>35040039.810000002</v>
      </c>
      <c r="AO14" s="4">
        <f t="shared" si="14"/>
        <v>-35040039.810000002</v>
      </c>
      <c r="AP14" s="29" t="e">
        <f>+AO14/AM14</f>
        <v>#DIV/0!</v>
      </c>
      <c r="AQ14" s="34">
        <f t="shared" si="15"/>
        <v>0</v>
      </c>
      <c r="AR14" s="34"/>
      <c r="AS14" s="2"/>
      <c r="AT14" s="2"/>
      <c r="AU14" s="2"/>
    </row>
    <row r="15" spans="1:52" x14ac:dyDescent="0.25">
      <c r="A15" s="5" t="s">
        <v>130</v>
      </c>
      <c r="B15" s="4">
        <f>+'202401anual'!B13</f>
        <v>7088887790.8025599</v>
      </c>
      <c r="C15" s="4">
        <v>0</v>
      </c>
      <c r="D15" s="4">
        <v>0</v>
      </c>
      <c r="E15" s="4">
        <f t="shared" si="10"/>
        <v>0</v>
      </c>
      <c r="F15" s="4">
        <v>0</v>
      </c>
      <c r="G15" s="4">
        <v>0</v>
      </c>
      <c r="H15" s="4">
        <f t="shared" si="0"/>
        <v>0</v>
      </c>
      <c r="I15" s="4">
        <f>+'202401anual'!E13</f>
        <v>2500000000</v>
      </c>
      <c r="J15" s="4">
        <v>2500000000</v>
      </c>
      <c r="K15" s="4">
        <f t="shared" si="1"/>
        <v>0</v>
      </c>
      <c r="L15" s="4">
        <v>0</v>
      </c>
      <c r="M15" s="4"/>
      <c r="N15" s="4"/>
      <c r="O15" s="4"/>
      <c r="P15" s="4"/>
      <c r="Q15" s="4">
        <f t="shared" si="3"/>
        <v>0</v>
      </c>
      <c r="R15" s="4"/>
      <c r="S15" s="4"/>
      <c r="T15" s="4"/>
      <c r="U15" s="4">
        <f>+'202401anual'!I13</f>
        <v>4588887790.8000002</v>
      </c>
      <c r="V15" s="4"/>
      <c r="W15" s="4">
        <f t="shared" si="11"/>
        <v>4588887790.8000002</v>
      </c>
      <c r="X15" s="4">
        <v>0</v>
      </c>
      <c r="Y15" s="4">
        <v>0</v>
      </c>
      <c r="Z15" s="4">
        <f t="shared" si="16"/>
        <v>0</v>
      </c>
      <c r="AA15" s="4"/>
      <c r="AB15" s="4"/>
      <c r="AC15" s="4">
        <f t="shared" si="5"/>
        <v>0</v>
      </c>
      <c r="AD15" s="4">
        <v>0</v>
      </c>
      <c r="AE15" s="4"/>
      <c r="AF15" s="4"/>
      <c r="AG15" s="4"/>
      <c r="AH15" s="4"/>
      <c r="AI15" s="4"/>
      <c r="AJ15" s="4"/>
      <c r="AK15" s="4"/>
      <c r="AL15" s="4"/>
      <c r="AM15" s="4">
        <f t="shared" si="12"/>
        <v>7088887790.8000002</v>
      </c>
      <c r="AN15" s="4">
        <f t="shared" si="13"/>
        <v>2500000000</v>
      </c>
      <c r="AO15" s="4">
        <f t="shared" si="14"/>
        <v>4588887790.8000002</v>
      </c>
      <c r="AP15" s="43">
        <f>+AO15/AM15</f>
        <v>0.64733536856874574</v>
      </c>
      <c r="AQ15" s="34">
        <f t="shared" si="15"/>
        <v>0</v>
      </c>
      <c r="AR15" s="34"/>
      <c r="AS15" s="122" t="s">
        <v>224</v>
      </c>
      <c r="AT15" s="106">
        <v>190000000</v>
      </c>
      <c r="AU15" s="106" t="s">
        <v>204</v>
      </c>
      <c r="AV15" s="119">
        <v>50588791</v>
      </c>
      <c r="AW15" s="106">
        <f>+AT15-AV15</f>
        <v>139411209</v>
      </c>
    </row>
    <row r="16" spans="1:52" ht="18.75" x14ac:dyDescent="0.3">
      <c r="A16" s="11" t="s">
        <v>2</v>
      </c>
      <c r="B16" s="7">
        <f>SUM(B6:B15)</f>
        <v>9565112976.7943058</v>
      </c>
      <c r="C16" s="7">
        <f>SUM(C6:C15)</f>
        <v>175521716.68979934</v>
      </c>
      <c r="D16" s="7">
        <f>SUM(D6:D15)</f>
        <v>148006091.18000001</v>
      </c>
      <c r="E16" s="7">
        <f t="shared" ref="E16:AL16" si="17">SUM(E6:E15)</f>
        <v>27515625.509799346</v>
      </c>
      <c r="F16" s="7">
        <f>SUM(F6:F15)</f>
        <v>182010287.56979933</v>
      </c>
      <c r="G16" s="7">
        <f t="shared" si="17"/>
        <v>124578098.92999999</v>
      </c>
      <c r="H16" s="7">
        <f t="shared" si="17"/>
        <v>57432188.639799356</v>
      </c>
      <c r="I16" s="7">
        <f t="shared" si="17"/>
        <v>2688498858.4497995</v>
      </c>
      <c r="J16" s="7">
        <f>SUM(J6:J15)</f>
        <v>2622512085.6399999</v>
      </c>
      <c r="K16" s="7">
        <f t="shared" si="17"/>
        <v>65986772.809799343</v>
      </c>
      <c r="L16" s="7">
        <f t="shared" si="17"/>
        <v>194987429.32979932</v>
      </c>
      <c r="M16" s="7">
        <f>SUM(M6:M15)</f>
        <v>163245727.63000003</v>
      </c>
      <c r="N16" s="7">
        <f t="shared" si="17"/>
        <v>31741701.699799344</v>
      </c>
      <c r="O16" s="7">
        <f>SUM(O6:O15)</f>
        <v>201476000.20979932</v>
      </c>
      <c r="P16" s="7">
        <f>SUM(P6:P15)</f>
        <v>192669396.21000001</v>
      </c>
      <c r="Q16" s="7">
        <f t="shared" si="17"/>
        <v>8806603.9997993354</v>
      </c>
      <c r="R16" s="7">
        <f t="shared" si="17"/>
        <v>207964571.08979931</v>
      </c>
      <c r="S16" s="7">
        <f>SUM(S6:S15)</f>
        <v>125467715.61000001</v>
      </c>
      <c r="T16" s="7">
        <f t="shared" si="17"/>
        <v>82496855.47979936</v>
      </c>
      <c r="U16" s="7">
        <f t="shared" si="17"/>
        <v>4803340932.7697992</v>
      </c>
      <c r="V16" s="7">
        <f t="shared" si="17"/>
        <v>152964753.31</v>
      </c>
      <c r="W16" s="7">
        <f t="shared" si="17"/>
        <v>4650376179.4597998</v>
      </c>
      <c r="X16" s="7">
        <f t="shared" si="17"/>
        <v>222262636.13663015</v>
      </c>
      <c r="Y16" s="7">
        <f>SUM(Y6:Y15)</f>
        <v>188276184.82999998</v>
      </c>
      <c r="Z16" s="7">
        <f t="shared" si="17"/>
        <v>33986451.306630135</v>
      </c>
      <c r="AA16" s="7">
        <f t="shared" si="17"/>
        <v>222262636.13663015</v>
      </c>
      <c r="AB16" s="7">
        <f>SUM(AB6:AB15)</f>
        <v>166938618.06999999</v>
      </c>
      <c r="AC16" s="7">
        <f t="shared" si="17"/>
        <v>55324018.066630147</v>
      </c>
      <c r="AD16" s="7">
        <f t="shared" si="17"/>
        <v>222262636.13663015</v>
      </c>
      <c r="AE16" s="7">
        <f>SUM(AE6:AE15)</f>
        <v>124808006.87000002</v>
      </c>
      <c r="AF16" s="7">
        <f>SUM(AF6:AF15)</f>
        <v>97454629.266630143</v>
      </c>
      <c r="AG16" s="7">
        <f t="shared" si="17"/>
        <v>222262636.13663015</v>
      </c>
      <c r="AH16" s="7">
        <f t="shared" si="17"/>
        <v>217006391.95999998</v>
      </c>
      <c r="AI16" s="7">
        <f t="shared" si="17"/>
        <v>5256244.1766301468</v>
      </c>
      <c r="AJ16" s="7">
        <f t="shared" si="17"/>
        <v>0</v>
      </c>
      <c r="AK16" s="7">
        <f t="shared" si="17"/>
        <v>0</v>
      </c>
      <c r="AL16" s="7">
        <f t="shared" si="17"/>
        <v>0</v>
      </c>
      <c r="AM16" s="7">
        <f>SUM(AM6:AM15)</f>
        <v>9342850340.6551151</v>
      </c>
      <c r="AN16" s="7">
        <f>SUM(AN6:AN15)</f>
        <v>4226473070.2399998</v>
      </c>
      <c r="AO16" s="7">
        <f>SUM(AO6:AO15)</f>
        <v>5116377270.4151163</v>
      </c>
      <c r="AP16" s="31">
        <f>+AO16/AM16</f>
        <v>0.5476248771909964</v>
      </c>
      <c r="AQ16" s="34">
        <f t="shared" si="15"/>
        <v>1.2665987014770508E-7</v>
      </c>
      <c r="AR16" s="51">
        <f>+AI16/AG16*100</f>
        <v>2.3648797962600461</v>
      </c>
      <c r="AS16" s="108" t="s">
        <v>222</v>
      </c>
      <c r="AT16" s="106">
        <v>5000000</v>
      </c>
      <c r="AU16" s="106" t="s">
        <v>204</v>
      </c>
      <c r="AV16" s="106">
        <v>0</v>
      </c>
      <c r="AW16" s="106"/>
      <c r="AZ16" s="2"/>
    </row>
    <row r="17" spans="1:52" x14ac:dyDescent="0.25">
      <c r="A17" s="5" t="s">
        <v>36</v>
      </c>
      <c r="B17" s="4">
        <v>975398331.34543312</v>
      </c>
      <c r="C17" s="4">
        <v>81283194</v>
      </c>
      <c r="D17" s="4">
        <v>80344550</v>
      </c>
      <c r="E17" s="4">
        <f t="shared" ref="E17:E26" si="18">+C17-D17</f>
        <v>938644</v>
      </c>
      <c r="F17" s="4">
        <v>81283194</v>
      </c>
      <c r="G17" s="4">
        <v>72356194</v>
      </c>
      <c r="H17" s="4">
        <f t="shared" si="0"/>
        <v>8927000</v>
      </c>
      <c r="I17" s="4">
        <f>+'202401anual'!E15</f>
        <v>81283194</v>
      </c>
      <c r="J17" s="4">
        <v>78177788</v>
      </c>
      <c r="K17" s="4">
        <f t="shared" si="1"/>
        <v>3105406</v>
      </c>
      <c r="L17" s="4">
        <f>+'202401anual'!F15</f>
        <v>81283194</v>
      </c>
      <c r="M17" s="4">
        <v>79358197</v>
      </c>
      <c r="N17" s="4">
        <f t="shared" ref="N17:N23" si="19">+L17-M17</f>
        <v>1924997</v>
      </c>
      <c r="O17" s="4">
        <f>+'202401anual'!G15</f>
        <v>81283194</v>
      </c>
      <c r="P17" s="4">
        <f>+[13]Resultados!$G$9-[13]Resultados!$G$26</f>
        <v>81051556</v>
      </c>
      <c r="Q17" s="4">
        <f t="shared" ref="Q17:Q23" si="20">+O17-P17</f>
        <v>231638</v>
      </c>
      <c r="R17" s="4">
        <f>+'202401anual'!I15</f>
        <v>81283194</v>
      </c>
      <c r="S17" s="4">
        <f>+[14]Resultados!$H$9</f>
        <v>76453889</v>
      </c>
      <c r="T17" s="4">
        <f t="shared" ref="T17:T23" si="21">+R17-S17</f>
        <v>4829305</v>
      </c>
      <c r="U17" s="4">
        <f>+'202401anual'!I15</f>
        <v>81283194</v>
      </c>
      <c r="V17" s="4">
        <f>+[15]Resultados!$I$9</f>
        <v>76942178</v>
      </c>
      <c r="W17" s="4">
        <f t="shared" ref="W17:W23" si="22">+U17-V17</f>
        <v>4341016</v>
      </c>
      <c r="X17" s="4">
        <f>+'202401anual'!J15</f>
        <v>81283194</v>
      </c>
      <c r="Y17" s="4">
        <v>75199151</v>
      </c>
      <c r="Z17" s="4">
        <f t="shared" ref="Z17:Z23" si="23">+X17-Y17</f>
        <v>6084043</v>
      </c>
      <c r="AA17" s="4">
        <f>+'202401anual'!K15</f>
        <v>81283194</v>
      </c>
      <c r="AB17" s="4">
        <v>70023113</v>
      </c>
      <c r="AC17" s="4">
        <f t="shared" si="5"/>
        <v>11260081</v>
      </c>
      <c r="AD17" s="4">
        <f>+'202401anual'!L15</f>
        <v>81283194</v>
      </c>
      <c r="AE17" s="4">
        <f>+[16]Resultados!$L$9</f>
        <v>64014865</v>
      </c>
      <c r="AF17" s="4">
        <f t="shared" ref="AF17:AF23" si="24">+AD17-AE17</f>
        <v>17268329</v>
      </c>
      <c r="AG17" s="4">
        <f>+'202401anual'!M15</f>
        <v>81283194</v>
      </c>
      <c r="AH17" s="4">
        <f>+[17]Resultados!$M$9-[17]Resultados!$M$26</f>
        <v>71009046</v>
      </c>
      <c r="AI17" s="4">
        <f>+AG17-AH17</f>
        <v>10274148</v>
      </c>
      <c r="AJ17" s="4"/>
      <c r="AK17" s="4"/>
      <c r="AL17" s="4">
        <f t="shared" si="8"/>
        <v>0</v>
      </c>
      <c r="AM17" s="4">
        <f t="shared" ref="AM17:AM23" si="25">+C17+F17+I17+L17+O17+R17+U17+X17+AA17+AD17+AG17+AJ17</f>
        <v>894115134</v>
      </c>
      <c r="AN17" s="4">
        <f t="shared" ref="AN17:AN23" si="26">+D17+G17+J17+M17+P17+S17+V17+Y17+AB17+AE17+AH17+AK17</f>
        <v>824930527</v>
      </c>
      <c r="AO17" s="4">
        <f>+AM17-AN17</f>
        <v>69184607</v>
      </c>
      <c r="AP17" s="43">
        <f t="shared" ref="AP17:AP23" si="27">+AO17/AM17</f>
        <v>7.7377738469193616E-2</v>
      </c>
      <c r="AQ17" s="34">
        <f t="shared" si="15"/>
        <v>0</v>
      </c>
      <c r="AR17" s="36"/>
      <c r="AS17" s="108" t="s">
        <v>203</v>
      </c>
      <c r="AT17" s="106">
        <v>12000000</v>
      </c>
      <c r="AU17" s="106" t="s">
        <v>204</v>
      </c>
      <c r="AV17" s="119">
        <v>3861000</v>
      </c>
      <c r="AW17" s="106">
        <f>+AT17-AV17</f>
        <v>8139000</v>
      </c>
    </row>
    <row r="18" spans="1:52" ht="45" hidden="1" x14ac:dyDescent="0.25">
      <c r="A18" s="21" t="s">
        <v>65</v>
      </c>
      <c r="B18" s="4">
        <v>0</v>
      </c>
      <c r="C18" s="4">
        <v>0</v>
      </c>
      <c r="D18" s="4">
        <v>0</v>
      </c>
      <c r="E18" s="4">
        <f t="shared" si="18"/>
        <v>0</v>
      </c>
      <c r="F18" s="4">
        <v>0</v>
      </c>
      <c r="G18" s="4">
        <v>0</v>
      </c>
      <c r="H18" s="4">
        <f t="shared" si="0"/>
        <v>0</v>
      </c>
      <c r="I18" s="4">
        <f>+'202401anual'!E16</f>
        <v>0</v>
      </c>
      <c r="J18" s="4">
        <v>0</v>
      </c>
      <c r="K18" s="4">
        <f t="shared" si="1"/>
        <v>0</v>
      </c>
      <c r="L18" s="4">
        <v>0</v>
      </c>
      <c r="M18" s="4">
        <v>0</v>
      </c>
      <c r="N18" s="4">
        <f t="shared" si="19"/>
        <v>0</v>
      </c>
      <c r="O18" s="4">
        <v>0</v>
      </c>
      <c r="P18" s="4">
        <v>0</v>
      </c>
      <c r="Q18" s="4">
        <f t="shared" si="20"/>
        <v>0</v>
      </c>
      <c r="R18" s="4">
        <f>+'202401anual'!H16</f>
        <v>0</v>
      </c>
      <c r="S18" s="4">
        <v>0</v>
      </c>
      <c r="T18" s="4">
        <f t="shared" si="21"/>
        <v>0</v>
      </c>
      <c r="U18" s="4"/>
      <c r="V18" s="4"/>
      <c r="W18" s="4">
        <f t="shared" si="22"/>
        <v>0</v>
      </c>
      <c r="X18" s="4"/>
      <c r="Y18" s="4"/>
      <c r="Z18" s="4">
        <f t="shared" si="23"/>
        <v>0</v>
      </c>
      <c r="AA18" s="4"/>
      <c r="AB18" s="4"/>
      <c r="AC18" s="4">
        <f t="shared" si="5"/>
        <v>0</v>
      </c>
      <c r="AD18" s="4"/>
      <c r="AE18" s="4"/>
      <c r="AF18" s="4">
        <f t="shared" si="24"/>
        <v>0</v>
      </c>
      <c r="AG18" s="4"/>
      <c r="AH18" s="4"/>
      <c r="AI18" s="4">
        <f t="shared" ref="AI18:AI26" si="28">+AG18-AH18</f>
        <v>0</v>
      </c>
      <c r="AJ18" s="4"/>
      <c r="AK18" s="4"/>
      <c r="AL18" s="4">
        <f t="shared" si="8"/>
        <v>0</v>
      </c>
      <c r="AM18" s="4">
        <f t="shared" si="25"/>
        <v>0</v>
      </c>
      <c r="AN18" s="4">
        <f t="shared" si="26"/>
        <v>0</v>
      </c>
      <c r="AO18" s="4">
        <f t="shared" ref="AO18:AO23" si="29">+AM18-AN18</f>
        <v>0</v>
      </c>
      <c r="AP18" s="29" t="e">
        <f>+AO18/AM18</f>
        <v>#DIV/0!</v>
      </c>
      <c r="AQ18" s="34">
        <f t="shared" si="15"/>
        <v>0</v>
      </c>
      <c r="AR18" s="36"/>
      <c r="AS18" s="108"/>
      <c r="AT18" s="106"/>
      <c r="AU18" s="106"/>
      <c r="AV18" s="106"/>
      <c r="AW18" s="106">
        <f t="shared" ref="AW18:AW21" si="30">+AT18-AV18</f>
        <v>0</v>
      </c>
    </row>
    <row r="19" spans="1:52" x14ac:dyDescent="0.25">
      <c r="A19" s="5" t="s">
        <v>9</v>
      </c>
      <c r="B19" s="4">
        <f>+'202401anual'!B17</f>
        <v>242000000</v>
      </c>
      <c r="C19" s="4">
        <v>8000000</v>
      </c>
      <c r="D19" s="4">
        <v>0</v>
      </c>
      <c r="E19" s="4">
        <f t="shared" si="18"/>
        <v>8000000</v>
      </c>
      <c r="F19" s="4">
        <v>20000000</v>
      </c>
      <c r="G19" s="4">
        <v>0</v>
      </c>
      <c r="H19" s="4">
        <f t="shared" si="0"/>
        <v>20000000</v>
      </c>
      <c r="I19" s="4">
        <f>+'202401anual'!E17-12000000</f>
        <v>0</v>
      </c>
      <c r="J19" s="4">
        <v>0</v>
      </c>
      <c r="K19" s="4">
        <f t="shared" si="1"/>
        <v>0</v>
      </c>
      <c r="L19" s="4">
        <f>+'202401anual'!F17</f>
        <v>8000000</v>
      </c>
      <c r="M19" s="4">
        <v>0</v>
      </c>
      <c r="N19" s="4">
        <f t="shared" si="19"/>
        <v>8000000</v>
      </c>
      <c r="O19" s="4">
        <f>+'202401anual'!G17</f>
        <v>71000000</v>
      </c>
      <c r="P19" s="4">
        <v>6600000</v>
      </c>
      <c r="Q19" s="4">
        <f t="shared" si="20"/>
        <v>64400000</v>
      </c>
      <c r="R19" s="4">
        <f>+'202401anual'!H17</f>
        <v>24000000</v>
      </c>
      <c r="S19" s="4">
        <v>50892449</v>
      </c>
      <c r="T19" s="4">
        <f t="shared" si="21"/>
        <v>-26892449</v>
      </c>
      <c r="U19" s="4">
        <f>+'202401anual'!I17</f>
        <v>24000000</v>
      </c>
      <c r="V19" s="4">
        <f>3960000+5474588</f>
        <v>9434588</v>
      </c>
      <c r="W19" s="4">
        <f t="shared" si="22"/>
        <v>14565412</v>
      </c>
      <c r="X19" s="4">
        <f>+'202401anual'!J17</f>
        <v>12000000</v>
      </c>
      <c r="Y19" s="4">
        <v>8774275</v>
      </c>
      <c r="Z19" s="4">
        <f t="shared" si="23"/>
        <v>3225725</v>
      </c>
      <c r="AA19" s="4">
        <f>+'202401anual'!K17-27000000</f>
        <v>0</v>
      </c>
      <c r="AB19" s="4">
        <v>0</v>
      </c>
      <c r="AC19" s="4">
        <f t="shared" si="5"/>
        <v>0</v>
      </c>
      <c r="AD19" s="4">
        <f>+'202401anual'!L17</f>
        <v>27000000</v>
      </c>
      <c r="AE19" s="4">
        <v>3200000</v>
      </c>
      <c r="AF19" s="4">
        <f t="shared" si="24"/>
        <v>23800000</v>
      </c>
      <c r="AG19" s="91">
        <f>+'202401anual'!M17</f>
        <v>32000000</v>
      </c>
      <c r="AH19" s="4">
        <f>+[18]EjecucionPptalPasiva!$Q$254+[18]EjecucionPptalPasiva!$Q$260+[18]EjecucionPptalPasiva!$Q$274</f>
        <v>68212341</v>
      </c>
      <c r="AI19" s="4">
        <f t="shared" si="28"/>
        <v>-36212341</v>
      </c>
      <c r="AJ19" s="4"/>
      <c r="AK19" s="4"/>
      <c r="AL19" s="4">
        <f t="shared" si="8"/>
        <v>0</v>
      </c>
      <c r="AM19" s="4">
        <f>+C19+F19+I19+L19+O19+R19+U19+X19+AA19+AD19+AG19+AJ19</f>
        <v>226000000</v>
      </c>
      <c r="AN19" s="4">
        <f t="shared" si="26"/>
        <v>147113653</v>
      </c>
      <c r="AO19" s="4">
        <f t="shared" si="29"/>
        <v>78886347</v>
      </c>
      <c r="AP19" s="43">
        <f t="shared" si="27"/>
        <v>0.34905463274336285</v>
      </c>
      <c r="AQ19" s="34">
        <f t="shared" si="15"/>
        <v>0</v>
      </c>
      <c r="AR19" s="36"/>
      <c r="AS19" s="109" t="s">
        <v>205</v>
      </c>
      <c r="AT19" s="106">
        <v>15000000</v>
      </c>
      <c r="AU19" s="106" t="s">
        <v>204</v>
      </c>
      <c r="AV19" s="106">
        <v>0</v>
      </c>
      <c r="AW19" s="106">
        <f t="shared" si="30"/>
        <v>15000000</v>
      </c>
      <c r="AX19" s="20"/>
    </row>
    <row r="20" spans="1:52" x14ac:dyDescent="0.25">
      <c r="A20" s="5" t="s">
        <v>8</v>
      </c>
      <c r="B20" s="4">
        <f>+'202401anual'!B27</f>
        <v>1269640000</v>
      </c>
      <c r="C20" s="4">
        <v>4220000</v>
      </c>
      <c r="D20" s="4">
        <v>0</v>
      </c>
      <c r="E20" s="4">
        <f t="shared" si="18"/>
        <v>4220000</v>
      </c>
      <c r="F20" s="4">
        <v>34220000</v>
      </c>
      <c r="G20" s="4">
        <v>0</v>
      </c>
      <c r="H20" s="4">
        <f t="shared" si="0"/>
        <v>34220000</v>
      </c>
      <c r="I20" s="4">
        <f>+'202401anual'!E27-34220000</f>
        <v>-833333.33333333209</v>
      </c>
      <c r="J20" s="4">
        <v>0</v>
      </c>
      <c r="K20" s="4">
        <f t="shared" si="1"/>
        <v>-833333.33333333209</v>
      </c>
      <c r="L20" s="4">
        <f>+'202401anual'!F27</f>
        <v>30000000</v>
      </c>
      <c r="M20" s="4">
        <v>0</v>
      </c>
      <c r="N20" s="4">
        <f t="shared" si="19"/>
        <v>30000000</v>
      </c>
      <c r="O20" s="4">
        <f>+'202401anual'!G27</f>
        <v>80000000</v>
      </c>
      <c r="P20" s="4">
        <v>0</v>
      </c>
      <c r="Q20" s="4">
        <f t="shared" si="20"/>
        <v>80000000</v>
      </c>
      <c r="R20" s="4">
        <f>+'202401anual'!H27</f>
        <v>40000000</v>
      </c>
      <c r="S20" s="4">
        <v>0</v>
      </c>
      <c r="T20" s="4">
        <f t="shared" si="21"/>
        <v>40000000</v>
      </c>
      <c r="U20" s="4">
        <f>+'202401anual'!I27</f>
        <v>150000000</v>
      </c>
      <c r="V20" s="4">
        <v>0</v>
      </c>
      <c r="W20" s="4">
        <f t="shared" si="22"/>
        <v>150000000</v>
      </c>
      <c r="X20" s="4">
        <f>+'202401anual'!J27</f>
        <v>140839000</v>
      </c>
      <c r="Y20" s="4">
        <v>0</v>
      </c>
      <c r="Z20" s="4">
        <f t="shared" si="23"/>
        <v>140839000</v>
      </c>
      <c r="AA20" s="4">
        <f>+'202401anual'!K27-210000000</f>
        <v>0</v>
      </c>
      <c r="AB20" s="4">
        <v>0</v>
      </c>
      <c r="AC20" s="4">
        <f t="shared" si="5"/>
        <v>0</v>
      </c>
      <c r="AD20" s="4">
        <f>+'202401anual'!L27</f>
        <v>190000000</v>
      </c>
      <c r="AE20" s="4">
        <f>86609900+34914910+27160573</f>
        <v>148685383</v>
      </c>
      <c r="AF20" s="4">
        <f t="shared" si="24"/>
        <v>41314617</v>
      </c>
      <c r="AG20" s="122">
        <f>+'202401anual'!M27</f>
        <v>190000000</v>
      </c>
      <c r="AH20" s="4">
        <v>50588791</v>
      </c>
      <c r="AI20" s="4">
        <f t="shared" si="28"/>
        <v>139411209</v>
      </c>
      <c r="AJ20" s="4"/>
      <c r="AK20" s="4"/>
      <c r="AL20" s="4">
        <f t="shared" si="8"/>
        <v>0</v>
      </c>
      <c r="AM20" s="4">
        <f>+C20+F20+I20+L20+O20+R20+U20+X20+AA20+AD20+AG20+AJ20</f>
        <v>858445666.66666675</v>
      </c>
      <c r="AN20" s="4">
        <f t="shared" si="26"/>
        <v>199274174</v>
      </c>
      <c r="AO20" s="4">
        <f t="shared" si="29"/>
        <v>659171492.66666675</v>
      </c>
      <c r="AP20" s="43">
        <f t="shared" si="27"/>
        <v>0.7678662940034644</v>
      </c>
      <c r="AQ20" s="34">
        <f t="shared" si="15"/>
        <v>0</v>
      </c>
      <c r="AR20" s="36"/>
      <c r="AS20" s="108" t="s">
        <v>206</v>
      </c>
      <c r="AT20" s="106">
        <v>0</v>
      </c>
      <c r="AU20" s="106" t="s">
        <v>204</v>
      </c>
      <c r="AV20" s="118">
        <v>50588791</v>
      </c>
      <c r="AW20" s="106">
        <f t="shared" si="30"/>
        <v>-50588791</v>
      </c>
      <c r="AX20" s="20"/>
    </row>
    <row r="21" spans="1:52" x14ac:dyDescent="0.25">
      <c r="A21" s="5" t="s">
        <v>10</v>
      </c>
      <c r="B21" s="4">
        <v>0</v>
      </c>
      <c r="C21" s="4">
        <v>0</v>
      </c>
      <c r="D21" s="4">
        <v>0</v>
      </c>
      <c r="E21" s="4">
        <f t="shared" si="18"/>
        <v>0</v>
      </c>
      <c r="F21" s="4">
        <v>0</v>
      </c>
      <c r="G21" s="4">
        <v>0</v>
      </c>
      <c r="H21" s="4">
        <f t="shared" si="0"/>
        <v>0</v>
      </c>
      <c r="I21" s="4">
        <f>+'202401anual'!E19</f>
        <v>0</v>
      </c>
      <c r="J21" s="4">
        <v>0</v>
      </c>
      <c r="K21" s="4">
        <f t="shared" si="1"/>
        <v>0</v>
      </c>
      <c r="L21" s="4"/>
      <c r="M21" s="4">
        <v>0</v>
      </c>
      <c r="N21" s="4">
        <f t="shared" si="19"/>
        <v>0</v>
      </c>
      <c r="O21" s="4">
        <v>0</v>
      </c>
      <c r="P21" s="4">
        <v>0</v>
      </c>
      <c r="Q21" s="4">
        <f t="shared" si="20"/>
        <v>0</v>
      </c>
      <c r="R21" s="4">
        <f>+'202401anual'!H34</f>
        <v>49350000</v>
      </c>
      <c r="S21" s="4"/>
      <c r="T21" s="4">
        <f t="shared" si="21"/>
        <v>49350000</v>
      </c>
      <c r="U21" s="4">
        <f>+'202401anual'!I33</f>
        <v>91650000</v>
      </c>
      <c r="V21" s="4">
        <f>40495000+84499999</f>
        <v>124994999</v>
      </c>
      <c r="W21" s="4">
        <f t="shared" si="22"/>
        <v>-33344999</v>
      </c>
      <c r="X21" s="4">
        <f>+'202401anual'!J33</f>
        <v>0</v>
      </c>
      <c r="Y21" s="4">
        <v>5005000</v>
      </c>
      <c r="Z21" s="4">
        <f t="shared" si="23"/>
        <v>-5005000</v>
      </c>
      <c r="AA21" s="4">
        <v>0</v>
      </c>
      <c r="AB21" s="4"/>
      <c r="AC21" s="4">
        <f t="shared" si="5"/>
        <v>0</v>
      </c>
      <c r="AD21" s="4">
        <f>+'202401anual'!L34</f>
        <v>0</v>
      </c>
      <c r="AE21" s="4"/>
      <c r="AF21" s="4">
        <f t="shared" si="24"/>
        <v>0</v>
      </c>
      <c r="AG21" s="4">
        <f>+'202401anual'!M33</f>
        <v>0</v>
      </c>
      <c r="AH21" s="4"/>
      <c r="AI21" s="4">
        <f t="shared" si="28"/>
        <v>0</v>
      </c>
      <c r="AJ21" s="4"/>
      <c r="AK21" s="4"/>
      <c r="AL21" s="4">
        <f t="shared" si="8"/>
        <v>0</v>
      </c>
      <c r="AM21" s="4">
        <f t="shared" si="25"/>
        <v>141000000</v>
      </c>
      <c r="AN21" s="4">
        <f t="shared" si="26"/>
        <v>129999999</v>
      </c>
      <c r="AO21" s="4">
        <f t="shared" si="29"/>
        <v>11000001</v>
      </c>
      <c r="AP21" s="43">
        <f t="shared" si="27"/>
        <v>7.8014191489361701E-2</v>
      </c>
      <c r="AQ21" s="34">
        <f t="shared" si="15"/>
        <v>0</v>
      </c>
      <c r="AR21" s="36"/>
      <c r="AS21" s="108" t="s">
        <v>220</v>
      </c>
      <c r="AT21" s="106">
        <v>0</v>
      </c>
      <c r="AU21" s="106" t="s">
        <v>204</v>
      </c>
      <c r="AV21" s="118">
        <v>13762550</v>
      </c>
      <c r="AW21" s="106">
        <f t="shared" si="30"/>
        <v>-13762550</v>
      </c>
    </row>
    <row r="22" spans="1:52" hidden="1" x14ac:dyDescent="0.25">
      <c r="A22" s="5" t="s">
        <v>11</v>
      </c>
      <c r="B22" s="4">
        <v>0</v>
      </c>
      <c r="C22" s="4">
        <v>0</v>
      </c>
      <c r="D22" s="4">
        <v>0</v>
      </c>
      <c r="E22" s="4">
        <f t="shared" si="18"/>
        <v>0</v>
      </c>
      <c r="F22" s="4"/>
      <c r="G22" s="4">
        <v>0</v>
      </c>
      <c r="H22" s="4">
        <f t="shared" si="0"/>
        <v>0</v>
      </c>
      <c r="I22" s="4">
        <f>+'202401anual'!E20</f>
        <v>0</v>
      </c>
      <c r="J22" s="4">
        <v>0</v>
      </c>
      <c r="K22" s="4">
        <f t="shared" si="1"/>
        <v>0</v>
      </c>
      <c r="L22" s="4"/>
      <c r="M22" s="4">
        <v>0</v>
      </c>
      <c r="N22" s="4">
        <f t="shared" si="19"/>
        <v>0</v>
      </c>
      <c r="O22" s="4">
        <v>0</v>
      </c>
      <c r="P22" s="4">
        <v>0</v>
      </c>
      <c r="Q22" s="4">
        <f t="shared" si="20"/>
        <v>0</v>
      </c>
      <c r="R22" s="4">
        <f>+'202401anual'!H36</f>
        <v>0</v>
      </c>
      <c r="S22" s="4"/>
      <c r="T22" s="4">
        <f t="shared" si="21"/>
        <v>0</v>
      </c>
      <c r="U22" s="4"/>
      <c r="V22" s="4"/>
      <c r="W22" s="4">
        <f t="shared" si="22"/>
        <v>0</v>
      </c>
      <c r="X22" s="4"/>
      <c r="Y22" s="4"/>
      <c r="Z22" s="4">
        <f t="shared" si="23"/>
        <v>0</v>
      </c>
      <c r="AA22" s="4"/>
      <c r="AB22" s="4"/>
      <c r="AC22" s="4">
        <f t="shared" si="5"/>
        <v>0</v>
      </c>
      <c r="AD22" s="4"/>
      <c r="AE22" s="4"/>
      <c r="AF22" s="4">
        <f t="shared" si="24"/>
        <v>0</v>
      </c>
      <c r="AG22" s="4"/>
      <c r="AH22" s="4"/>
      <c r="AI22" s="4">
        <f t="shared" si="28"/>
        <v>0</v>
      </c>
      <c r="AJ22" s="4"/>
      <c r="AK22" s="4"/>
      <c r="AL22" s="4">
        <f t="shared" si="8"/>
        <v>0</v>
      </c>
      <c r="AM22" s="4">
        <f t="shared" si="25"/>
        <v>0</v>
      </c>
      <c r="AN22" s="4">
        <f t="shared" si="26"/>
        <v>0</v>
      </c>
      <c r="AO22" s="4">
        <f t="shared" si="29"/>
        <v>0</v>
      </c>
      <c r="AP22" s="43" t="e">
        <f t="shared" si="27"/>
        <v>#DIV/0!</v>
      </c>
      <c r="AQ22" s="34">
        <f t="shared" si="15"/>
        <v>0</v>
      </c>
      <c r="AR22" s="36"/>
      <c r="AS22" s="109" t="s">
        <v>212</v>
      </c>
      <c r="AT22" s="107">
        <v>0</v>
      </c>
      <c r="AU22" s="106"/>
      <c r="AV22" s="106">
        <f>34914910+27160573</f>
        <v>62075483</v>
      </c>
      <c r="AW22" s="106">
        <f t="shared" ref="AW22:AW27" si="31">+AT22-AV22</f>
        <v>-62075483</v>
      </c>
      <c r="AX22" s="20"/>
    </row>
    <row r="23" spans="1:52" x14ac:dyDescent="0.25">
      <c r="A23" s="5" t="s">
        <v>12</v>
      </c>
      <c r="B23" s="4">
        <f>+'202401anual'!B37</f>
        <v>636180000</v>
      </c>
      <c r="C23" s="4">
        <v>46765000</v>
      </c>
      <c r="D23" s="4">
        <f>681340+8239458</f>
        <v>8920798</v>
      </c>
      <c r="E23" s="4">
        <f t="shared" si="18"/>
        <v>37844202</v>
      </c>
      <c r="F23" s="4">
        <v>46765000</v>
      </c>
      <c r="G23" s="4">
        <v>23742140</v>
      </c>
      <c r="H23" s="4">
        <f t="shared" si="0"/>
        <v>23022860</v>
      </c>
      <c r="I23" s="4">
        <f>+'202401anual'!E37-40000000</f>
        <v>16765000</v>
      </c>
      <c r="J23" s="4">
        <v>10981286</v>
      </c>
      <c r="K23" s="4">
        <f t="shared" si="1"/>
        <v>5783714</v>
      </c>
      <c r="L23" s="4">
        <f>+'202401anual'!F37</f>
        <v>28265000</v>
      </c>
      <c r="M23" s="4">
        <v>69420120</v>
      </c>
      <c r="N23" s="4">
        <f t="shared" si="19"/>
        <v>-41155120</v>
      </c>
      <c r="O23" s="4">
        <f>+'202401anual'!G37</f>
        <v>18015000</v>
      </c>
      <c r="P23" s="4">
        <f>84499999+11543032+1565142+8680596</f>
        <v>106288769</v>
      </c>
      <c r="Q23" s="4">
        <f t="shared" si="20"/>
        <v>-88273769</v>
      </c>
      <c r="R23" s="4">
        <f>+'202401anual'!H37</f>
        <v>28015000</v>
      </c>
      <c r="S23" s="4">
        <f>8264079+8194379</f>
        <v>16458458</v>
      </c>
      <c r="T23" s="4">
        <f t="shared" si="21"/>
        <v>11556542</v>
      </c>
      <c r="U23" s="4">
        <f>+'202401anual'!I37</f>
        <v>79015000</v>
      </c>
      <c r="V23" s="4">
        <v>5903533</v>
      </c>
      <c r="W23" s="4">
        <f t="shared" si="22"/>
        <v>73111467</v>
      </c>
      <c r="X23" s="4">
        <f>+'202401anual'!J37</f>
        <v>79015000</v>
      </c>
      <c r="Y23" s="4">
        <v>52964352</v>
      </c>
      <c r="Z23" s="4">
        <f t="shared" si="23"/>
        <v>26050648</v>
      </c>
      <c r="AA23" s="4">
        <f>+'202401anual'!K37-34000000</f>
        <v>55015000</v>
      </c>
      <c r="AB23" s="4">
        <v>54999314</v>
      </c>
      <c r="AC23" s="4">
        <f t="shared" si="5"/>
        <v>15686</v>
      </c>
      <c r="AD23" s="4">
        <f>+'202401anual'!L37</f>
        <v>79015000</v>
      </c>
      <c r="AE23" s="4">
        <f>37373509+6393087</f>
        <v>43766596</v>
      </c>
      <c r="AF23" s="4">
        <f t="shared" si="24"/>
        <v>35248404</v>
      </c>
      <c r="AG23" s="111">
        <f>+'202401anual'!M37</f>
        <v>79015000</v>
      </c>
      <c r="AH23" s="4">
        <f>+[18]EjecucionPptalPasiva!$Q$267+[18]EjecucionPptalPasiva!$Q$298</f>
        <v>37898545</v>
      </c>
      <c r="AI23" s="4">
        <f t="shared" si="28"/>
        <v>41116455</v>
      </c>
      <c r="AJ23" s="4"/>
      <c r="AK23" s="4"/>
      <c r="AL23" s="4">
        <f t="shared" si="8"/>
        <v>0</v>
      </c>
      <c r="AM23" s="4">
        <f t="shared" si="25"/>
        <v>555665000</v>
      </c>
      <c r="AN23" s="4">
        <f t="shared" si="26"/>
        <v>431343911</v>
      </c>
      <c r="AO23" s="4">
        <f t="shared" si="29"/>
        <v>124321089</v>
      </c>
      <c r="AP23" s="43">
        <f t="shared" si="27"/>
        <v>0.22373388462472893</v>
      </c>
      <c r="AQ23" s="34">
        <f t="shared" si="15"/>
        <v>0</v>
      </c>
      <c r="AR23" s="36"/>
      <c r="AS23" s="106"/>
      <c r="AT23" s="107"/>
      <c r="AU23" s="106"/>
      <c r="AV23" s="106"/>
      <c r="AW23" s="106">
        <f t="shared" si="31"/>
        <v>0</v>
      </c>
      <c r="AX23" s="20"/>
    </row>
    <row r="24" spans="1:52" x14ac:dyDescent="0.25">
      <c r="A24" s="12" t="s">
        <v>13</v>
      </c>
      <c r="B24" s="8">
        <f>SUM(B17:B23)</f>
        <v>3123218331.3454332</v>
      </c>
      <c r="C24" s="8">
        <f>SUM(C17:C23)</f>
        <v>140268194</v>
      </c>
      <c r="D24" s="8">
        <f t="shared" ref="D24:AL24" si="32">SUM(D17:D23)</f>
        <v>89265348</v>
      </c>
      <c r="E24" s="8">
        <f t="shared" si="32"/>
        <v>51002846</v>
      </c>
      <c r="F24" s="8">
        <f>SUM(F17:F23)</f>
        <v>182268194</v>
      </c>
      <c r="G24" s="8">
        <f t="shared" si="32"/>
        <v>96098334</v>
      </c>
      <c r="H24" s="8">
        <f t="shared" si="32"/>
        <v>86169860</v>
      </c>
      <c r="I24" s="7">
        <f t="shared" si="32"/>
        <v>97214860.666666672</v>
      </c>
      <c r="J24" s="8">
        <f t="shared" si="32"/>
        <v>89159074</v>
      </c>
      <c r="K24" s="8">
        <f t="shared" si="32"/>
        <v>8055786.6666666679</v>
      </c>
      <c r="L24" s="8">
        <f t="shared" ref="L24:Z24" si="33">SUM(L17:L23)</f>
        <v>147548194</v>
      </c>
      <c r="M24" s="8">
        <f t="shared" si="33"/>
        <v>148778317</v>
      </c>
      <c r="N24" s="8">
        <f t="shared" si="33"/>
        <v>-1230123</v>
      </c>
      <c r="O24" s="8">
        <f t="shared" si="33"/>
        <v>250298194</v>
      </c>
      <c r="P24" s="8">
        <f t="shared" si="33"/>
        <v>193940325</v>
      </c>
      <c r="Q24" s="8">
        <f t="shared" si="33"/>
        <v>56357869</v>
      </c>
      <c r="R24" s="8">
        <f t="shared" si="33"/>
        <v>222648194</v>
      </c>
      <c r="S24" s="8">
        <f t="shared" si="33"/>
        <v>143804796</v>
      </c>
      <c r="T24" s="8">
        <f t="shared" si="33"/>
        <v>78843398</v>
      </c>
      <c r="U24" s="8">
        <f t="shared" si="33"/>
        <v>425948194</v>
      </c>
      <c r="V24" s="8">
        <f t="shared" si="33"/>
        <v>217275298</v>
      </c>
      <c r="W24" s="8">
        <f t="shared" si="33"/>
        <v>208672896</v>
      </c>
      <c r="X24" s="8">
        <f t="shared" si="33"/>
        <v>313137194</v>
      </c>
      <c r="Y24" s="8">
        <f t="shared" si="33"/>
        <v>141942778</v>
      </c>
      <c r="Z24" s="8">
        <f t="shared" si="33"/>
        <v>171194416</v>
      </c>
      <c r="AA24" s="8">
        <f t="shared" si="32"/>
        <v>136298194</v>
      </c>
      <c r="AB24" s="8">
        <f t="shared" si="32"/>
        <v>125022427</v>
      </c>
      <c r="AC24" s="8">
        <f t="shared" si="32"/>
        <v>11275767</v>
      </c>
      <c r="AD24" s="8">
        <f t="shared" si="32"/>
        <v>377298194</v>
      </c>
      <c r="AE24" s="8">
        <f t="shared" si="32"/>
        <v>259666844</v>
      </c>
      <c r="AF24" s="8">
        <f t="shared" si="32"/>
        <v>117631350</v>
      </c>
      <c r="AG24" s="8">
        <f t="shared" si="32"/>
        <v>382298194</v>
      </c>
      <c r="AH24" s="8">
        <f t="shared" si="32"/>
        <v>227708723</v>
      </c>
      <c r="AI24" s="8">
        <f t="shared" si="32"/>
        <v>154589471</v>
      </c>
      <c r="AJ24" s="8">
        <f t="shared" si="32"/>
        <v>0</v>
      </c>
      <c r="AK24" s="8">
        <f t="shared" si="32"/>
        <v>0</v>
      </c>
      <c r="AL24" s="8">
        <f t="shared" si="32"/>
        <v>0</v>
      </c>
      <c r="AM24" s="8">
        <f>SUM(AM17:AM23)</f>
        <v>2675225800.666667</v>
      </c>
      <c r="AN24" s="8">
        <f>SUM(AN17:AN23)</f>
        <v>1732662264</v>
      </c>
      <c r="AO24" s="8">
        <f>SUM(AO17:AO23)</f>
        <v>942563536.66666675</v>
      </c>
      <c r="AP24" s="31">
        <f>+AO24/AM24</f>
        <v>0.35233045989306011</v>
      </c>
      <c r="AQ24" s="34">
        <f t="shared" si="15"/>
        <v>0</v>
      </c>
      <c r="AR24" s="51">
        <f>+AI24/AG24*100</f>
        <v>40.436882367275842</v>
      </c>
      <c r="AS24" s="110" t="s">
        <v>207</v>
      </c>
      <c r="AT24" s="107">
        <v>0</v>
      </c>
      <c r="AU24" s="106" t="s">
        <v>204</v>
      </c>
      <c r="AV24" s="106">
        <v>0</v>
      </c>
      <c r="AW24" s="106">
        <f t="shared" si="31"/>
        <v>0</v>
      </c>
      <c r="AX24" s="20"/>
    </row>
    <row r="25" spans="1:52" x14ac:dyDescent="0.25">
      <c r="A25" s="5" t="s">
        <v>35</v>
      </c>
      <c r="B25" s="4">
        <v>45053763.229277767</v>
      </c>
      <c r="C25" s="4">
        <v>3754480.2691064808</v>
      </c>
      <c r="D25" s="4">
        <v>4199364</v>
      </c>
      <c r="E25" s="4">
        <f t="shared" si="18"/>
        <v>-444883.73089351924</v>
      </c>
      <c r="F25" s="4">
        <v>3754480.2691064808</v>
      </c>
      <c r="G25" s="4">
        <v>3938549</v>
      </c>
      <c r="H25" s="4">
        <f>+F25-G25</f>
        <v>-184068.73089351924</v>
      </c>
      <c r="I25" s="4">
        <f>+'202401anual'!E46</f>
        <v>3754480.2691064808</v>
      </c>
      <c r="J25" s="4">
        <v>4526964</v>
      </c>
      <c r="K25" s="4">
        <f t="shared" si="1"/>
        <v>-772483.73089351924</v>
      </c>
      <c r="L25" s="4">
        <f>+'202401anual'!F46</f>
        <v>3754480.2691064808</v>
      </c>
      <c r="M25" s="4">
        <v>2000598</v>
      </c>
      <c r="N25" s="4">
        <f>+L25-M25</f>
        <v>1753882.2691064808</v>
      </c>
      <c r="O25" s="4">
        <f>+'202401anual'!G46</f>
        <v>3754480.2691064808</v>
      </c>
      <c r="P25" s="4">
        <f>+[13]Resultados!$G$27</f>
        <v>3907395</v>
      </c>
      <c r="Q25" s="4">
        <f>+O25-P25</f>
        <v>-152914.73089351924</v>
      </c>
      <c r="R25" s="4">
        <f>+'202401anual'!H46</f>
        <v>3754480.2691064808</v>
      </c>
      <c r="S25" s="4">
        <f>+[14]Resultados!$H$27-[14]Resultados!$H$40</f>
        <v>3938549</v>
      </c>
      <c r="T25" s="4">
        <f>+R25-S25</f>
        <v>-184068.73089351924</v>
      </c>
      <c r="U25" s="4">
        <f>+'202401anual'!I46</f>
        <v>3754480.2691064808</v>
      </c>
      <c r="V25" s="4">
        <f>+[15]Resultados!$I$27</f>
        <v>3916748</v>
      </c>
      <c r="W25" s="4">
        <f>+U25-V25</f>
        <v>-162267.73089351924</v>
      </c>
      <c r="X25" s="4">
        <f>+'202401anual'!J46</f>
        <v>3754480.2691064808</v>
      </c>
      <c r="Y25" s="4">
        <v>3951808</v>
      </c>
      <c r="Z25" s="4">
        <f>+X25-Y25</f>
        <v>-197327.73089351924</v>
      </c>
      <c r="AA25" s="4">
        <f>+'202401anual'!K48</f>
        <v>3754480.2691064808</v>
      </c>
      <c r="AB25" s="4">
        <v>3927300</v>
      </c>
      <c r="AC25" s="4">
        <f t="shared" si="5"/>
        <v>-172819.73089351924</v>
      </c>
      <c r="AD25" s="4">
        <f>+'202401anual'!L46</f>
        <v>3754480.2691064808</v>
      </c>
      <c r="AE25" s="4">
        <f>+[16]Resultados!$L$27</f>
        <v>3249672</v>
      </c>
      <c r="AF25" s="4">
        <f>+AD25-AE25</f>
        <v>504808.26910648076</v>
      </c>
      <c r="AG25" s="4">
        <f>+'202401anual'!M46</f>
        <v>3754480.2691064808</v>
      </c>
      <c r="AH25" s="4">
        <f>+[17]Resultados!$M$27</f>
        <v>3983591</v>
      </c>
      <c r="AI25" s="4">
        <f t="shared" si="28"/>
        <v>-229110.73089351924</v>
      </c>
      <c r="AJ25" s="4"/>
      <c r="AK25" s="4"/>
      <c r="AL25" s="4">
        <f t="shared" si="8"/>
        <v>0</v>
      </c>
      <c r="AM25" s="4">
        <f>+C25+F25+I25+L25+O25+R25+U25+X25+AA25+AD25+AG25+AJ25</f>
        <v>41299282.960171282</v>
      </c>
      <c r="AN25" s="4">
        <f>+D25+G25+J25+M25+P25+S25+V25+Y25+AB25+AE25+AH25+AK25</f>
        <v>41540538</v>
      </c>
      <c r="AO25" s="4">
        <f>+AM25-AN25</f>
        <v>-241255.03982871771</v>
      </c>
      <c r="AP25" s="43">
        <f>+AO25/AM25</f>
        <v>-5.841627808923033E-3</v>
      </c>
      <c r="AQ25" s="34">
        <f t="shared" si="15"/>
        <v>6.0535967350006104E-9</v>
      </c>
      <c r="AR25" s="38"/>
      <c r="AS25" s="110" t="s">
        <v>208</v>
      </c>
      <c r="AT25" s="107">
        <v>61000000</v>
      </c>
      <c r="AU25" s="106" t="s">
        <v>204</v>
      </c>
      <c r="AV25" s="119">
        <v>33191442</v>
      </c>
      <c r="AW25" s="106">
        <f t="shared" si="31"/>
        <v>27808558</v>
      </c>
    </row>
    <row r="26" spans="1:52" x14ac:dyDescent="0.25">
      <c r="A26" s="5" t="s">
        <v>14</v>
      </c>
      <c r="B26" s="4">
        <v>95000000</v>
      </c>
      <c r="C26" s="4">
        <v>0</v>
      </c>
      <c r="D26" s="4">
        <v>31618</v>
      </c>
      <c r="E26" s="4">
        <f t="shared" si="18"/>
        <v>-31618</v>
      </c>
      <c r="F26" s="4">
        <v>50000000</v>
      </c>
      <c r="G26" s="4">
        <v>31516</v>
      </c>
      <c r="H26" s="4">
        <f>+F26-G26</f>
        <v>49968484</v>
      </c>
      <c r="I26" s="4">
        <f>+'202401anual'!E47-20000000</f>
        <v>0</v>
      </c>
      <c r="J26" s="4">
        <v>6011801</v>
      </c>
      <c r="K26" s="4">
        <f t="shared" si="1"/>
        <v>-6011801</v>
      </c>
      <c r="L26" s="4">
        <f>+'202401anual'!F47</f>
        <v>0</v>
      </c>
      <c r="M26" s="4">
        <v>31618</v>
      </c>
      <c r="N26" s="4">
        <f>+L26-M26</f>
        <v>-31618</v>
      </c>
      <c r="O26" s="4">
        <f>+'202401anual'!G47</f>
        <v>17250000</v>
      </c>
      <c r="P26" s="4">
        <v>31618</v>
      </c>
      <c r="Q26" s="4">
        <f>+O26-P26</f>
        <v>17218382</v>
      </c>
      <c r="R26" s="4">
        <f>+'202401anual'!H47</f>
        <v>22750000</v>
      </c>
      <c r="S26" s="4">
        <v>31618</v>
      </c>
      <c r="T26" s="4">
        <f>+R26-S26</f>
        <v>22718382</v>
      </c>
      <c r="U26" s="4">
        <f>+'202401anual'!I47</f>
        <v>3000000</v>
      </c>
      <c r="V26" s="4">
        <v>31618</v>
      </c>
      <c r="W26" s="4">
        <f>+U26-V26</f>
        <v>2968382</v>
      </c>
      <c r="X26" s="4">
        <f>+'202401anual'!J47</f>
        <v>0</v>
      </c>
      <c r="Y26" s="4">
        <v>31618</v>
      </c>
      <c r="Z26" s="4">
        <f>+X26-Y26</f>
        <v>-31618</v>
      </c>
      <c r="AA26" s="4">
        <v>0</v>
      </c>
      <c r="AB26" s="4">
        <v>1371618</v>
      </c>
      <c r="AC26" s="4">
        <f t="shared" si="5"/>
        <v>-1371618</v>
      </c>
      <c r="AD26" s="4"/>
      <c r="AE26" s="4">
        <v>31618</v>
      </c>
      <c r="AF26" s="4">
        <f>+AD26-AE26</f>
        <v>-31618</v>
      </c>
      <c r="AG26" s="4">
        <v>0</v>
      </c>
      <c r="AH26" s="4">
        <v>31616</v>
      </c>
      <c r="AI26" s="4">
        <f t="shared" si="28"/>
        <v>-31616</v>
      </c>
      <c r="AJ26" s="4">
        <f>+'202401anual'!N47</f>
        <v>0</v>
      </c>
      <c r="AK26" s="4"/>
      <c r="AL26" s="4">
        <f t="shared" si="8"/>
        <v>0</v>
      </c>
      <c r="AM26" s="4">
        <f>+C26+F26+I26+L26+O26+R26+U26+X26+AA26+AD26+AG26+AJ26</f>
        <v>93000000</v>
      </c>
      <c r="AN26" s="4">
        <f>+D26+G26+J26+M26+P26+S26+V26+Y26+AB26+AE26+AH26+AK26</f>
        <v>7667877</v>
      </c>
      <c r="AO26" s="4">
        <f>+AM26-AN26</f>
        <v>85332123</v>
      </c>
      <c r="AP26" s="43">
        <f>+AO26/AM26</f>
        <v>0.91754970967741933</v>
      </c>
      <c r="AQ26" s="34">
        <f t="shared" si="15"/>
        <v>0</v>
      </c>
      <c r="AR26" s="48"/>
      <c r="AS26" s="110" t="s">
        <v>209</v>
      </c>
      <c r="AT26" s="107">
        <v>3750000</v>
      </c>
      <c r="AU26" s="106" t="s">
        <v>204</v>
      </c>
      <c r="AV26" s="106">
        <v>0</v>
      </c>
      <c r="AW26" s="106">
        <f t="shared" si="31"/>
        <v>3750000</v>
      </c>
    </row>
    <row r="27" spans="1:52" x14ac:dyDescent="0.25">
      <c r="A27" s="12" t="s">
        <v>15</v>
      </c>
      <c r="B27" s="8">
        <f t="shared" ref="B27:P27" si="34">SUM(B25:B26)</f>
        <v>140053763.22927776</v>
      </c>
      <c r="C27" s="8">
        <f t="shared" si="34"/>
        <v>3754480.2691064808</v>
      </c>
      <c r="D27" s="8">
        <f t="shared" si="34"/>
        <v>4230982</v>
      </c>
      <c r="E27" s="8">
        <f t="shared" si="34"/>
        <v>-476501.73089351924</v>
      </c>
      <c r="F27" s="8">
        <f t="shared" si="34"/>
        <v>53754480.269106477</v>
      </c>
      <c r="G27" s="8">
        <f t="shared" si="34"/>
        <v>3970065</v>
      </c>
      <c r="H27" s="8">
        <f t="shared" si="34"/>
        <v>49784415.269106477</v>
      </c>
      <c r="I27" s="7">
        <f t="shared" si="34"/>
        <v>3754480.2691064808</v>
      </c>
      <c r="J27" s="7">
        <f t="shared" si="34"/>
        <v>10538765</v>
      </c>
      <c r="K27" s="8">
        <f t="shared" si="34"/>
        <v>-6784284.7308935188</v>
      </c>
      <c r="L27" s="8">
        <f t="shared" si="34"/>
        <v>3754480.2691064808</v>
      </c>
      <c r="M27" s="8">
        <f t="shared" si="34"/>
        <v>2032216</v>
      </c>
      <c r="N27" s="8">
        <f t="shared" si="34"/>
        <v>1722264.2691064808</v>
      </c>
      <c r="O27" s="8">
        <f t="shared" si="34"/>
        <v>21004480.269106481</v>
      </c>
      <c r="P27" s="8">
        <f t="shared" si="34"/>
        <v>3939013</v>
      </c>
      <c r="Q27" s="8">
        <f>+O27-P27</f>
        <v>17065467.269106481</v>
      </c>
      <c r="R27" s="8">
        <f t="shared" ref="R27:AO27" si="35">SUM(R25:R26)</f>
        <v>26504480.269106481</v>
      </c>
      <c r="S27" s="8">
        <f t="shared" si="35"/>
        <v>3970167</v>
      </c>
      <c r="T27" s="8">
        <f t="shared" si="35"/>
        <v>22534313.269106481</v>
      </c>
      <c r="U27" s="8">
        <f t="shared" si="35"/>
        <v>6754480.2691064812</v>
      </c>
      <c r="V27" s="8">
        <f t="shared" si="35"/>
        <v>3948366</v>
      </c>
      <c r="W27" s="8">
        <f t="shared" si="35"/>
        <v>2806114.2691064808</v>
      </c>
      <c r="X27" s="8">
        <f t="shared" si="35"/>
        <v>3754480.2691064808</v>
      </c>
      <c r="Y27" s="8">
        <f t="shared" si="35"/>
        <v>3983426</v>
      </c>
      <c r="Z27" s="8">
        <f t="shared" si="35"/>
        <v>-228945.73089351924</v>
      </c>
      <c r="AA27" s="8">
        <f t="shared" si="35"/>
        <v>3754480.2691064808</v>
      </c>
      <c r="AB27" s="8">
        <f t="shared" si="35"/>
        <v>5298918</v>
      </c>
      <c r="AC27" s="8">
        <f t="shared" si="35"/>
        <v>-1544437.7308935192</v>
      </c>
      <c r="AD27" s="8">
        <f t="shared" si="35"/>
        <v>3754480.2691064808</v>
      </c>
      <c r="AE27" s="8">
        <f t="shared" si="35"/>
        <v>3281290</v>
      </c>
      <c r="AF27" s="8">
        <f t="shared" si="35"/>
        <v>473190.26910648076</v>
      </c>
      <c r="AG27" s="8">
        <f t="shared" si="35"/>
        <v>3754480.2691064808</v>
      </c>
      <c r="AH27" s="8">
        <f t="shared" si="35"/>
        <v>4015207</v>
      </c>
      <c r="AI27" s="8">
        <f t="shared" si="35"/>
        <v>-260726.73089351924</v>
      </c>
      <c r="AJ27" s="8">
        <f t="shared" si="35"/>
        <v>0</v>
      </c>
      <c r="AK27" s="8">
        <f t="shared" si="35"/>
        <v>0</v>
      </c>
      <c r="AL27" s="8">
        <f t="shared" si="35"/>
        <v>0</v>
      </c>
      <c r="AM27" s="8">
        <f t="shared" si="35"/>
        <v>134299282.96017128</v>
      </c>
      <c r="AN27" s="8">
        <f t="shared" si="35"/>
        <v>49208415</v>
      </c>
      <c r="AO27" s="8">
        <f t="shared" si="35"/>
        <v>85090867.960171282</v>
      </c>
      <c r="AP27" s="31">
        <f>+AO27/AM27</f>
        <v>0.63359137952662348</v>
      </c>
      <c r="AQ27" s="34">
        <f t="shared" si="15"/>
        <v>-2.6542693376541138E-8</v>
      </c>
      <c r="AR27" s="51">
        <f>+AI27/AG27*100</f>
        <v>-6.944416063093839</v>
      </c>
      <c r="AS27" s="110" t="s">
        <v>210</v>
      </c>
      <c r="AT27" s="107">
        <v>14265000</v>
      </c>
      <c r="AU27" s="106" t="s">
        <v>204</v>
      </c>
      <c r="AV27" s="119">
        <v>4707103</v>
      </c>
      <c r="AW27" s="106">
        <f t="shared" si="31"/>
        <v>9557897</v>
      </c>
      <c r="AX27" s="2">
        <f>SUM(AW17:AW27)+AC17</f>
        <v>-50911288</v>
      </c>
    </row>
    <row r="28" spans="1:52" x14ac:dyDescent="0.25">
      <c r="A28" s="12" t="s">
        <v>1</v>
      </c>
      <c r="B28" s="8">
        <f t="shared" ref="B28:AO28" si="36">+B27+B24</f>
        <v>3263272094.5747108</v>
      </c>
      <c r="C28" s="8">
        <f t="shared" si="36"/>
        <v>144022674.26910648</v>
      </c>
      <c r="D28" s="8">
        <f t="shared" si="36"/>
        <v>93496330</v>
      </c>
      <c r="E28" s="8">
        <f t="shared" si="36"/>
        <v>50526344.269106477</v>
      </c>
      <c r="F28" s="8">
        <f t="shared" si="36"/>
        <v>236022674.26910648</v>
      </c>
      <c r="G28" s="8">
        <f t="shared" si="36"/>
        <v>100068399</v>
      </c>
      <c r="H28" s="8">
        <f t="shared" si="36"/>
        <v>135954275.26910648</v>
      </c>
      <c r="I28" s="7">
        <f t="shared" si="36"/>
        <v>100969340.93577315</v>
      </c>
      <c r="J28" s="8">
        <f t="shared" si="36"/>
        <v>99697839</v>
      </c>
      <c r="K28" s="8">
        <f t="shared" si="36"/>
        <v>1271501.9357731491</v>
      </c>
      <c r="L28" s="8">
        <f t="shared" si="36"/>
        <v>151302674.26910648</v>
      </c>
      <c r="M28" s="8">
        <f t="shared" si="36"/>
        <v>150810533</v>
      </c>
      <c r="N28" s="8">
        <f t="shared" si="36"/>
        <v>492141.26910648076</v>
      </c>
      <c r="O28" s="8">
        <f t="shared" si="36"/>
        <v>271302674.26910651</v>
      </c>
      <c r="P28" s="8">
        <f t="shared" si="36"/>
        <v>197879338</v>
      </c>
      <c r="Q28" s="8">
        <f t="shared" si="36"/>
        <v>73423336.269106477</v>
      </c>
      <c r="R28" s="8">
        <f t="shared" si="36"/>
        <v>249152674.26910648</v>
      </c>
      <c r="S28" s="8">
        <f t="shared" si="36"/>
        <v>147774963</v>
      </c>
      <c r="T28" s="8">
        <f t="shared" si="36"/>
        <v>101377711.26910648</v>
      </c>
      <c r="U28" s="8">
        <f t="shared" si="36"/>
        <v>432702674.26910651</v>
      </c>
      <c r="V28" s="8">
        <f t="shared" si="36"/>
        <v>221223664</v>
      </c>
      <c r="W28" s="8">
        <f t="shared" si="36"/>
        <v>211479010.26910648</v>
      </c>
      <c r="X28" s="8">
        <f t="shared" si="36"/>
        <v>316891674.26910651</v>
      </c>
      <c r="Y28" s="8">
        <f t="shared" si="36"/>
        <v>145926204</v>
      </c>
      <c r="Z28" s="8">
        <f t="shared" si="36"/>
        <v>170965470.26910648</v>
      </c>
      <c r="AA28" s="8">
        <f t="shared" si="36"/>
        <v>140052674.26910648</v>
      </c>
      <c r="AB28" s="8">
        <f t="shared" si="36"/>
        <v>130321345</v>
      </c>
      <c r="AC28" s="8">
        <f t="shared" si="36"/>
        <v>9731329.2691064812</v>
      </c>
      <c r="AD28" s="8">
        <f t="shared" si="36"/>
        <v>381052674.26910651</v>
      </c>
      <c r="AE28" s="8">
        <f t="shared" si="36"/>
        <v>262948134</v>
      </c>
      <c r="AF28" s="8">
        <f t="shared" si="36"/>
        <v>118104540.26910648</v>
      </c>
      <c r="AG28" s="8">
        <f t="shared" si="36"/>
        <v>386052674.26910651</v>
      </c>
      <c r="AH28" s="8">
        <f t="shared" si="36"/>
        <v>231723930</v>
      </c>
      <c r="AI28" s="8">
        <f t="shared" si="36"/>
        <v>154328744.26910648</v>
      </c>
      <c r="AJ28" s="8">
        <f t="shared" si="36"/>
        <v>0</v>
      </c>
      <c r="AK28" s="8">
        <f t="shared" si="36"/>
        <v>0</v>
      </c>
      <c r="AL28" s="8">
        <f t="shared" si="36"/>
        <v>0</v>
      </c>
      <c r="AM28" s="8">
        <f t="shared" si="36"/>
        <v>2809525083.6268382</v>
      </c>
      <c r="AN28" s="8">
        <f t="shared" si="36"/>
        <v>1781870679</v>
      </c>
      <c r="AO28" s="8">
        <f t="shared" si="36"/>
        <v>1027654404.626838</v>
      </c>
      <c r="AP28" s="31">
        <f>+AO28/AM28</f>
        <v>0.36577513068515866</v>
      </c>
      <c r="AQ28" s="34">
        <f t="shared" si="15"/>
        <v>0</v>
      </c>
      <c r="AR28" s="51">
        <f>+AI28/AG28*100</f>
        <v>39.976084756125339</v>
      </c>
      <c r="AS28" s="2"/>
      <c r="AT28" s="20"/>
      <c r="AU28" s="20"/>
      <c r="AV28" s="20"/>
      <c r="AW28" s="20"/>
      <c r="AZ28" s="55"/>
    </row>
    <row r="29" spans="1:52" x14ac:dyDescent="0.25">
      <c r="A29" s="22" t="s">
        <v>58</v>
      </c>
      <c r="B29" s="4">
        <v>1348189693.8599594</v>
      </c>
      <c r="C29" s="4">
        <v>112349141.15499662</v>
      </c>
      <c r="D29" s="4">
        <v>98571937</v>
      </c>
      <c r="E29" s="4">
        <f t="shared" ref="E29:E96" si="37">+C29-D29</f>
        <v>13777204.154996619</v>
      </c>
      <c r="F29" s="4">
        <v>112349141.15499662</v>
      </c>
      <c r="G29" s="4">
        <v>93757863</v>
      </c>
      <c r="H29" s="4">
        <f t="shared" ref="H29:H96" si="38">+F29-G29</f>
        <v>18591278.154996619</v>
      </c>
      <c r="I29" s="4">
        <f>+'202401anual'!D50</f>
        <v>112349141.15499662</v>
      </c>
      <c r="J29" s="4">
        <v>99596096.230000004</v>
      </c>
      <c r="K29" s="4">
        <f t="shared" ref="K29:K49" si="39">+I29-J29</f>
        <v>12753044.924996614</v>
      </c>
      <c r="L29" s="4">
        <f>+'202401anual'!F50</f>
        <v>112349141.15499662</v>
      </c>
      <c r="M29" s="4">
        <v>97047952</v>
      </c>
      <c r="N29" s="4">
        <f t="shared" ref="N29:N35" si="40">+L29-M29</f>
        <v>15301189.154996619</v>
      </c>
      <c r="O29" s="4">
        <f>+'202401anual'!F50</f>
        <v>112349141.15499662</v>
      </c>
      <c r="P29" s="4">
        <f>+[13]Resultados!$G$41-[13]Resultados!$G$59</f>
        <v>92001362.999999985</v>
      </c>
      <c r="Q29" s="4">
        <f>+O29-P29</f>
        <v>20347778.154996634</v>
      </c>
      <c r="R29" s="4">
        <f>+'202401anual'!H50</f>
        <v>112349141.15499662</v>
      </c>
      <c r="S29" s="4">
        <f>+[14]Resultados!$H$41-[14]Resultados!$H$59</f>
        <v>96185407</v>
      </c>
      <c r="T29" s="4">
        <f t="shared" ref="T29:T49" si="41">+R29-S29</f>
        <v>16163734.154996619</v>
      </c>
      <c r="U29" s="4">
        <f>+'202401anual'!I50</f>
        <v>112349141.15499662</v>
      </c>
      <c r="V29" s="4">
        <f>+[15]Resultados!$I$41-[15]Resultados!$I$59</f>
        <v>97184261</v>
      </c>
      <c r="W29" s="4">
        <f t="shared" ref="W29:W35" si="42">+U29-V29</f>
        <v>15164880.154996619</v>
      </c>
      <c r="X29" s="4">
        <f>+'202401anual'!J50</f>
        <v>112349141.15499662</v>
      </c>
      <c r="Y29" s="4">
        <v>95378932</v>
      </c>
      <c r="Z29" s="4">
        <f t="shared" ref="Z29:Z49" si="43">+X29-Y29</f>
        <v>16970209.154996619</v>
      </c>
      <c r="AA29" s="4">
        <f>+'202401anual'!K50</f>
        <v>112349141.15499662</v>
      </c>
      <c r="AB29" s="4">
        <v>93674391</v>
      </c>
      <c r="AC29" s="4">
        <f t="shared" ref="AC29:AC49" si="44">+AA29-AB29</f>
        <v>18674750.154996619</v>
      </c>
      <c r="AD29" s="4">
        <f>+'202401anual'!L50</f>
        <v>112349141.15499662</v>
      </c>
      <c r="AE29" s="4">
        <f>+[16]Resultados!$L$41</f>
        <v>101546778.91</v>
      </c>
      <c r="AF29" s="4">
        <f t="shared" ref="AF29:AF96" si="45">+AD29-AE29</f>
        <v>10802362.244996622</v>
      </c>
      <c r="AG29" s="4">
        <f>+'202401anual'!M50</f>
        <v>112349141.15499662</v>
      </c>
      <c r="AH29" s="4">
        <f>+[17]Resultados!$M$41-[17]Resultados!$M$59</f>
        <v>93656937</v>
      </c>
      <c r="AI29" s="4">
        <f t="shared" ref="AI29:AI96" si="46">+AG29-AH29</f>
        <v>18692204.154996619</v>
      </c>
      <c r="AJ29" s="4"/>
      <c r="AK29" s="4"/>
      <c r="AL29" s="4">
        <f t="shared" ref="AL29:AL96" si="47">+AJ29-AK29</f>
        <v>0</v>
      </c>
      <c r="AM29" s="4">
        <f t="shared" ref="AM29:AM49" si="48">+C29+F29+I29+L29+O29+R29+U29+X29+AA29+AD29+AG29+AJ29</f>
        <v>1235840552.7049627</v>
      </c>
      <c r="AN29" s="4">
        <f t="shared" ref="AN29:AN49" si="49">+D29+G29+J29+M29+P29+S29+V29+Y29+AB29+AE29+AH29+AK29</f>
        <v>1058601918.14</v>
      </c>
      <c r="AO29" s="4">
        <f t="shared" ref="AO29:AO49" si="50">+AM29-AN29</f>
        <v>177238634.56496274</v>
      </c>
      <c r="AP29" s="43">
        <f>+AO29/AM29*100</f>
        <v>14.341545450748422</v>
      </c>
      <c r="AQ29" s="34">
        <f t="shared" si="15"/>
        <v>4.4703483581542969E-8</v>
      </c>
      <c r="AR29" s="38"/>
      <c r="AS29" s="73"/>
      <c r="AT29" s="20"/>
      <c r="AU29" s="20"/>
      <c r="AV29" s="20"/>
      <c r="AW29" s="20"/>
    </row>
    <row r="30" spans="1:52" ht="45" hidden="1" x14ac:dyDescent="0.25">
      <c r="A30" s="21" t="s">
        <v>65</v>
      </c>
      <c r="B30" s="4">
        <v>0</v>
      </c>
      <c r="C30" s="4">
        <v>0</v>
      </c>
      <c r="D30" s="4">
        <v>0</v>
      </c>
      <c r="E30" s="4">
        <f t="shared" si="37"/>
        <v>0</v>
      </c>
      <c r="F30" s="4">
        <v>0</v>
      </c>
      <c r="G30" s="10">
        <v>0</v>
      </c>
      <c r="H30" s="4">
        <f t="shared" si="38"/>
        <v>0</v>
      </c>
      <c r="I30" s="4">
        <v>0</v>
      </c>
      <c r="J30" s="10">
        <v>0</v>
      </c>
      <c r="K30" s="4">
        <f t="shared" si="39"/>
        <v>0</v>
      </c>
      <c r="L30" s="4">
        <f>+'202401anual'!F51</f>
        <v>0</v>
      </c>
      <c r="M30" s="4">
        <v>0</v>
      </c>
      <c r="N30" s="4">
        <f t="shared" si="40"/>
        <v>0</v>
      </c>
      <c r="O30" s="4">
        <f>+'202401anual'!G51</f>
        <v>0</v>
      </c>
      <c r="P30" s="10">
        <v>0</v>
      </c>
      <c r="Q30" s="4">
        <f t="shared" ref="Q30:Q35" si="51">+O30-P30</f>
        <v>0</v>
      </c>
      <c r="R30" s="4">
        <v>0</v>
      </c>
      <c r="S30" s="4">
        <v>0</v>
      </c>
      <c r="T30" s="4">
        <f t="shared" si="41"/>
        <v>0</v>
      </c>
      <c r="U30" s="4"/>
      <c r="V30" s="4"/>
      <c r="W30" s="4">
        <f t="shared" si="42"/>
        <v>0</v>
      </c>
      <c r="X30" s="4"/>
      <c r="Y30" s="4"/>
      <c r="Z30" s="4">
        <f t="shared" si="43"/>
        <v>0</v>
      </c>
      <c r="AA30" s="4"/>
      <c r="AB30" s="4"/>
      <c r="AC30" s="4">
        <f t="shared" si="44"/>
        <v>0</v>
      </c>
      <c r="AD30" s="4"/>
      <c r="AE30" s="10"/>
      <c r="AF30" s="4">
        <f t="shared" si="45"/>
        <v>0</v>
      </c>
      <c r="AG30" s="4"/>
      <c r="AH30" s="10"/>
      <c r="AI30" s="4">
        <f t="shared" si="46"/>
        <v>0</v>
      </c>
      <c r="AJ30" s="4"/>
      <c r="AK30" s="10"/>
      <c r="AL30" s="4">
        <f t="shared" si="47"/>
        <v>0</v>
      </c>
      <c r="AM30" s="4">
        <f t="shared" si="48"/>
        <v>0</v>
      </c>
      <c r="AN30" s="4">
        <f t="shared" si="49"/>
        <v>0</v>
      </c>
      <c r="AO30" s="4">
        <f t="shared" si="50"/>
        <v>0</v>
      </c>
      <c r="AP30" s="43" t="e">
        <f t="shared" ref="AP30:AP49" si="52">+AO30/AM30*100</f>
        <v>#DIV/0!</v>
      </c>
      <c r="AQ30" s="34">
        <f t="shared" si="15"/>
        <v>0</v>
      </c>
      <c r="AR30" s="38"/>
      <c r="AS30" s="2"/>
      <c r="AT30" s="20"/>
      <c r="AU30" s="20"/>
      <c r="AV30" s="20"/>
      <c r="AW30" s="20"/>
    </row>
    <row r="31" spans="1:52" x14ac:dyDescent="0.25">
      <c r="A31" s="5" t="s">
        <v>16</v>
      </c>
      <c r="B31" s="4">
        <f>+'202401anual'!B52</f>
        <v>15000000</v>
      </c>
      <c r="C31" s="4">
        <v>26027616</v>
      </c>
      <c r="D31" s="4"/>
      <c r="E31" s="4">
        <f t="shared" si="37"/>
        <v>26027616</v>
      </c>
      <c r="F31" s="4">
        <v>0</v>
      </c>
      <c r="G31" s="4">
        <v>0</v>
      </c>
      <c r="H31" s="4">
        <f t="shared" si="38"/>
        <v>0</v>
      </c>
      <c r="I31" s="4">
        <f>+'202401anual'!E52</f>
        <v>0</v>
      </c>
      <c r="J31" s="4">
        <v>0</v>
      </c>
      <c r="K31" s="4">
        <f t="shared" si="39"/>
        <v>0</v>
      </c>
      <c r="L31" s="4">
        <f>+'202401anual'!F52</f>
        <v>0</v>
      </c>
      <c r="M31" s="4"/>
      <c r="N31" s="4">
        <f t="shared" si="40"/>
        <v>0</v>
      </c>
      <c r="O31" s="4">
        <f>+'202401anual'!G52</f>
        <v>0</v>
      </c>
      <c r="P31" s="4"/>
      <c r="Q31" s="4">
        <f t="shared" si="51"/>
        <v>0</v>
      </c>
      <c r="R31" s="4">
        <v>0</v>
      </c>
      <c r="S31" s="4"/>
      <c r="T31" s="4">
        <f t="shared" si="41"/>
        <v>0</v>
      </c>
      <c r="U31" s="4"/>
      <c r="V31" s="4">
        <v>0</v>
      </c>
      <c r="W31" s="4">
        <f t="shared" si="42"/>
        <v>0</v>
      </c>
      <c r="X31" s="4">
        <f>+'202401anual'!J52</f>
        <v>0</v>
      </c>
      <c r="Y31" s="4">
        <v>0</v>
      </c>
      <c r="Z31" s="4">
        <f t="shared" si="43"/>
        <v>0</v>
      </c>
      <c r="AA31" s="4"/>
      <c r="AB31" s="4"/>
      <c r="AC31" s="4">
        <f t="shared" si="44"/>
        <v>0</v>
      </c>
      <c r="AD31" s="4">
        <f>+'202401anual'!L52</f>
        <v>10013808</v>
      </c>
      <c r="AE31" s="4">
        <v>0</v>
      </c>
      <c r="AF31" s="4">
        <f t="shared" si="45"/>
        <v>10013808</v>
      </c>
      <c r="AG31" s="4">
        <f>+'202401anual'!M52</f>
        <v>0</v>
      </c>
      <c r="AH31" s="4"/>
      <c r="AI31" s="4">
        <f t="shared" si="46"/>
        <v>0</v>
      </c>
      <c r="AJ31" s="4"/>
      <c r="AK31" s="4"/>
      <c r="AL31" s="4">
        <f t="shared" si="47"/>
        <v>0</v>
      </c>
      <c r="AM31" s="4">
        <f t="shared" si="48"/>
        <v>36041424</v>
      </c>
      <c r="AN31" s="4">
        <f t="shared" si="49"/>
        <v>0</v>
      </c>
      <c r="AO31" s="4">
        <f t="shared" si="50"/>
        <v>36041424</v>
      </c>
      <c r="AP31" s="43">
        <f t="shared" si="52"/>
        <v>100</v>
      </c>
      <c r="AQ31" s="34">
        <f t="shared" si="15"/>
        <v>0</v>
      </c>
      <c r="AR31" s="38"/>
      <c r="AS31" s="2"/>
      <c r="AT31" s="20"/>
      <c r="AU31" s="20"/>
    </row>
    <row r="32" spans="1:52" x14ac:dyDescent="0.25">
      <c r="A32" s="5" t="s">
        <v>17</v>
      </c>
      <c r="B32" s="4">
        <f>+'202401anual'!B55</f>
        <v>576470000</v>
      </c>
      <c r="C32" s="4">
        <v>61474815</v>
      </c>
      <c r="D32" s="4"/>
      <c r="E32" s="4">
        <f t="shared" si="37"/>
        <v>61474815</v>
      </c>
      <c r="F32" s="4">
        <v>59412573</v>
      </c>
      <c r="G32" s="4"/>
      <c r="H32" s="4">
        <f t="shared" si="38"/>
        <v>59412573</v>
      </c>
      <c r="I32" s="4">
        <f>+'202401anual'!E55</f>
        <v>0</v>
      </c>
      <c r="J32" s="4">
        <v>0</v>
      </c>
      <c r="K32" s="4">
        <f t="shared" si="39"/>
        <v>0</v>
      </c>
      <c r="L32" s="4">
        <f>+'202401anual'!F55</f>
        <v>0</v>
      </c>
      <c r="M32" s="4">
        <v>67260000</v>
      </c>
      <c r="N32" s="4">
        <f>+L32-M32</f>
        <v>-67260000</v>
      </c>
      <c r="O32" s="4">
        <f>+'202401anual'!G55</f>
        <v>63900000</v>
      </c>
      <c r="P32" s="4">
        <v>94613520</v>
      </c>
      <c r="Q32" s="4">
        <f t="shared" si="51"/>
        <v>-30713520</v>
      </c>
      <c r="R32" s="4">
        <f>+'202401anual'!H55</f>
        <v>63900000</v>
      </c>
      <c r="S32" s="4">
        <v>44750000</v>
      </c>
      <c r="T32" s="4">
        <f t="shared" si="41"/>
        <v>19150000</v>
      </c>
      <c r="U32" s="4">
        <f>+'202401anual'!I55</f>
        <v>63900000</v>
      </c>
      <c r="V32" s="4">
        <f>4115620+8197500+48300000</f>
        <v>60613120</v>
      </c>
      <c r="W32" s="4">
        <f t="shared" si="42"/>
        <v>3286880</v>
      </c>
      <c r="X32" s="4">
        <f>+'202401anual'!J55</f>
        <v>64400000</v>
      </c>
      <c r="Y32" s="4">
        <f>4240000+48300000</f>
        <v>52540000</v>
      </c>
      <c r="Z32" s="4">
        <f t="shared" si="43"/>
        <v>11860000</v>
      </c>
      <c r="AA32" s="4">
        <f>+'202401anual'!K55</f>
        <v>63900000</v>
      </c>
      <c r="AB32" s="4">
        <v>94009912</v>
      </c>
      <c r="AC32" s="4">
        <f t="shared" si="44"/>
        <v>-30109912</v>
      </c>
      <c r="AD32" s="4">
        <f>+'202401anual'!L55</f>
        <v>63900000</v>
      </c>
      <c r="AE32" s="4">
        <v>47550000</v>
      </c>
      <c r="AF32" s="4">
        <f t="shared" si="45"/>
        <v>16350000</v>
      </c>
      <c r="AG32" s="123">
        <f>+'202401anual'!M55</f>
        <v>60443694</v>
      </c>
      <c r="AH32" s="4">
        <f>+[18]EjecucionPptalPasiva!$Q$329+[18]EjecucionPptalPasiva!$Q$326</f>
        <v>19447500</v>
      </c>
      <c r="AI32" s="4">
        <f t="shared" si="46"/>
        <v>40996194</v>
      </c>
      <c r="AJ32" s="4"/>
      <c r="AK32" s="4"/>
      <c r="AL32" s="4">
        <f t="shared" si="47"/>
        <v>0</v>
      </c>
      <c r="AM32" s="4">
        <f>+C32+F32+I32+L32+O32+R32+U32+X32+AA32+AD32+AG32+AJ32</f>
        <v>565231082</v>
      </c>
      <c r="AN32" s="4">
        <f t="shared" si="49"/>
        <v>480784052</v>
      </c>
      <c r="AO32" s="4">
        <f t="shared" si="50"/>
        <v>84447030</v>
      </c>
      <c r="AP32" s="43">
        <f t="shared" si="52"/>
        <v>14.940266501480185</v>
      </c>
      <c r="AQ32" s="34">
        <f t="shared" si="15"/>
        <v>0</v>
      </c>
      <c r="AR32" s="38"/>
      <c r="AS32" s="2"/>
    </row>
    <row r="33" spans="1:52" x14ac:dyDescent="0.25">
      <c r="A33" s="5" t="s">
        <v>7</v>
      </c>
      <c r="B33" s="4">
        <f>+'202401anual'!B59</f>
        <v>299564999.57200003</v>
      </c>
      <c r="C33" s="4">
        <v>39598775.880999997</v>
      </c>
      <c r="D33" s="4"/>
      <c r="E33" s="4">
        <f t="shared" si="37"/>
        <v>39598775.880999997</v>
      </c>
      <c r="F33" s="4">
        <v>50098775.880999997</v>
      </c>
      <c r="G33" s="4">
        <v>5720000</v>
      </c>
      <c r="H33" s="4">
        <f t="shared" si="38"/>
        <v>44378775.880999997</v>
      </c>
      <c r="I33" s="4">
        <f>+'202401anual'!E59-6000000</f>
        <v>0</v>
      </c>
      <c r="J33" s="4">
        <v>0</v>
      </c>
      <c r="K33" s="4">
        <f t="shared" si="39"/>
        <v>0</v>
      </c>
      <c r="L33" s="4">
        <f>+'202401anual'!F59</f>
        <v>15156500</v>
      </c>
      <c r="M33" s="4">
        <v>22972500</v>
      </c>
      <c r="N33" s="4">
        <f>+L33-M33</f>
        <v>-7816000</v>
      </c>
      <c r="O33" s="4">
        <f>+'202401anual'!G59</f>
        <v>49856500</v>
      </c>
      <c r="P33" s="4">
        <f>1047000+6090000+8197500</f>
        <v>15334500</v>
      </c>
      <c r="Q33" s="4">
        <f t="shared" si="51"/>
        <v>34522000</v>
      </c>
      <c r="R33" s="4">
        <f>+'202401anual'!H59</f>
        <v>62456500</v>
      </c>
      <c r="S33" s="4">
        <f>6300000+8197500+1495000</f>
        <v>15992500</v>
      </c>
      <c r="T33" s="4">
        <f t="shared" si="41"/>
        <v>46464000</v>
      </c>
      <c r="U33" s="4">
        <f>+'202401anual'!I59</f>
        <v>51156500</v>
      </c>
      <c r="V33" s="4">
        <v>0</v>
      </c>
      <c r="W33" s="4">
        <f t="shared" si="42"/>
        <v>51156500</v>
      </c>
      <c r="X33" s="4">
        <f>+'202401anual'!J59</f>
        <v>36856500</v>
      </c>
      <c r="Y33" s="4">
        <v>22391500</v>
      </c>
      <c r="Z33" s="4">
        <f t="shared" si="43"/>
        <v>14465000</v>
      </c>
      <c r="AA33" s="4">
        <f>+'202401anual'!K59-26000000</f>
        <v>24856500</v>
      </c>
      <c r="AB33" s="4">
        <v>23974500</v>
      </c>
      <c r="AC33" s="89">
        <f t="shared" si="44"/>
        <v>882000</v>
      </c>
      <c r="AD33" s="4">
        <f>+'202401anual'!L59</f>
        <v>30856500</v>
      </c>
      <c r="AE33" s="4">
        <f>10980500+920000+6300000+8197500</f>
        <v>26398000</v>
      </c>
      <c r="AF33" s="4">
        <f t="shared" si="45"/>
        <v>4458500</v>
      </c>
      <c r="AG33" s="126">
        <f>+'202401anual'!M59</f>
        <v>39017795.571000002</v>
      </c>
      <c r="AH33" s="4">
        <f>+[18]EjecucionPptalPasiva!$Q$291+[18]EjecucionPptalPasiva!$Q$322+2000000+6300000+37800000</f>
        <v>56660000</v>
      </c>
      <c r="AI33" s="4">
        <f t="shared" si="46"/>
        <v>-17642204.428999998</v>
      </c>
      <c r="AJ33" s="4"/>
      <c r="AK33" s="4"/>
      <c r="AL33" s="4">
        <f t="shared" si="47"/>
        <v>0</v>
      </c>
      <c r="AM33" s="4">
        <f>+C33+F33+I33+L33+O33+R33+U33+X33+AA33+AD33+AG33+AJ33</f>
        <v>399910847.33299994</v>
      </c>
      <c r="AN33" s="4">
        <f t="shared" si="49"/>
        <v>189443500</v>
      </c>
      <c r="AO33" s="4">
        <f t="shared" si="50"/>
        <v>210467347.33299994</v>
      </c>
      <c r="AP33" s="43">
        <f t="shared" si="52"/>
        <v>52.628566775971152</v>
      </c>
      <c r="AQ33" s="34">
        <f t="shared" si="15"/>
        <v>5.2154064178466797E-8</v>
      </c>
      <c r="AR33" s="38"/>
      <c r="AS33" s="124" t="s">
        <v>215</v>
      </c>
      <c r="AT33" s="107">
        <v>60443694</v>
      </c>
      <c r="AU33" s="106" t="s">
        <v>204</v>
      </c>
      <c r="AV33" s="107">
        <v>37800000</v>
      </c>
      <c r="AW33" s="106">
        <f>+AT33-AV33</f>
        <v>22643694</v>
      </c>
    </row>
    <row r="34" spans="1:52" x14ac:dyDescent="0.25">
      <c r="A34" s="5" t="s">
        <v>57</v>
      </c>
      <c r="B34" s="4">
        <v>100020000</v>
      </c>
      <c r="C34" s="4">
        <v>615000</v>
      </c>
      <c r="D34" s="4">
        <f>2167423+271918</f>
        <v>2439341</v>
      </c>
      <c r="E34" s="4">
        <f t="shared" si="37"/>
        <v>-1824341</v>
      </c>
      <c r="F34" s="4">
        <v>2115000</v>
      </c>
      <c r="G34" s="4">
        <v>466655</v>
      </c>
      <c r="H34" s="4">
        <f t="shared" si="38"/>
        <v>1648345</v>
      </c>
      <c r="I34" s="4">
        <f>+'202401anual'!E73</f>
        <v>1755000</v>
      </c>
      <c r="J34" s="4">
        <v>3699437</v>
      </c>
      <c r="K34" s="4">
        <f t="shared" si="39"/>
        <v>-1944437</v>
      </c>
      <c r="L34" s="4">
        <f>+'202401anual'!F73</f>
        <v>615000</v>
      </c>
      <c r="M34" s="4">
        <f>518673+10504800</f>
        <v>11023473</v>
      </c>
      <c r="N34" s="4">
        <f t="shared" si="40"/>
        <v>-10408473</v>
      </c>
      <c r="O34" s="4">
        <f>+'202401anual'!G73</f>
        <v>615000</v>
      </c>
      <c r="P34" s="4">
        <f>4128587+431184</f>
        <v>4559771</v>
      </c>
      <c r="Q34" s="4">
        <f t="shared" si="51"/>
        <v>-3944771</v>
      </c>
      <c r="R34" s="4">
        <f>+'202401anual'!H73</f>
        <v>2115000</v>
      </c>
      <c r="S34" s="4">
        <v>358037</v>
      </c>
      <c r="T34" s="4">
        <f t="shared" si="41"/>
        <v>1756963</v>
      </c>
      <c r="U34" s="4">
        <f>+'202401anual'!I73</f>
        <v>1755000</v>
      </c>
      <c r="V34" s="4">
        <v>5903533</v>
      </c>
      <c r="W34" s="4">
        <f t="shared" si="42"/>
        <v>-4148533</v>
      </c>
      <c r="X34" s="4">
        <f>+'202401anual'!J73</f>
        <v>615000</v>
      </c>
      <c r="Y34" s="4">
        <v>384738</v>
      </c>
      <c r="Z34" s="4">
        <f t="shared" si="43"/>
        <v>230262</v>
      </c>
      <c r="AA34" s="4">
        <f>+'202401anual'!K73</f>
        <v>615000</v>
      </c>
      <c r="AB34" s="4">
        <v>462186</v>
      </c>
      <c r="AC34" s="4">
        <f t="shared" si="44"/>
        <v>152814</v>
      </c>
      <c r="AD34" s="4">
        <f>+'202401anual'!L73</f>
        <v>615000</v>
      </c>
      <c r="AE34" s="4">
        <v>367049</v>
      </c>
      <c r="AF34" s="4">
        <f t="shared" si="45"/>
        <v>247951</v>
      </c>
      <c r="AG34" s="4">
        <f>+'202401anual'!M73</f>
        <v>615000</v>
      </c>
      <c r="AH34" s="4">
        <f>+[18]EjecucionPptalPasiva!$Q$317</f>
        <v>347953</v>
      </c>
      <c r="AI34" s="4">
        <f t="shared" si="46"/>
        <v>267047</v>
      </c>
      <c r="AJ34" s="4"/>
      <c r="AK34" s="4"/>
      <c r="AL34" s="4">
        <f t="shared" si="47"/>
        <v>0</v>
      </c>
      <c r="AM34" s="4">
        <f t="shared" si="48"/>
        <v>12045000</v>
      </c>
      <c r="AN34" s="4">
        <f t="shared" si="49"/>
        <v>30012173</v>
      </c>
      <c r="AO34" s="4">
        <f t="shared" si="50"/>
        <v>-17967173</v>
      </c>
      <c r="AP34" s="43">
        <f t="shared" si="52"/>
        <v>-149.16706517227064</v>
      </c>
      <c r="AQ34" s="34">
        <f t="shared" si="15"/>
        <v>0</v>
      </c>
      <c r="AR34" s="38"/>
      <c r="AS34" s="125" t="s">
        <v>211</v>
      </c>
      <c r="AT34" s="107">
        <v>22566667</v>
      </c>
      <c r="AU34" s="106" t="s">
        <v>204</v>
      </c>
      <c r="AV34" s="120">
        <f>8840000+1720000</f>
        <v>10560000</v>
      </c>
      <c r="AW34" s="106">
        <f>+AT34-AV34</f>
        <v>12006667</v>
      </c>
    </row>
    <row r="35" spans="1:52" hidden="1" x14ac:dyDescent="0.25">
      <c r="A35" s="5" t="s">
        <v>66</v>
      </c>
      <c r="B35" s="4">
        <v>0</v>
      </c>
      <c r="C35" s="4">
        <v>0</v>
      </c>
      <c r="D35" s="4"/>
      <c r="E35" s="4"/>
      <c r="F35" s="4"/>
      <c r="G35" s="4"/>
      <c r="H35" s="4"/>
      <c r="I35" s="4"/>
      <c r="J35" s="4"/>
      <c r="K35" s="4">
        <f t="shared" si="39"/>
        <v>0</v>
      </c>
      <c r="L35" s="4">
        <f>+'202401anual'!F80</f>
        <v>0</v>
      </c>
      <c r="M35" s="4">
        <v>0</v>
      </c>
      <c r="N35" s="4">
        <f t="shared" si="40"/>
        <v>0</v>
      </c>
      <c r="O35" s="4">
        <f>+'202401anual'!G80</f>
        <v>0</v>
      </c>
      <c r="P35" s="4">
        <v>0</v>
      </c>
      <c r="Q35" s="4">
        <f t="shared" si="51"/>
        <v>0</v>
      </c>
      <c r="R35" s="4">
        <f>+'202401anual'!H80</f>
        <v>0</v>
      </c>
      <c r="S35" s="4">
        <v>0</v>
      </c>
      <c r="T35" s="4">
        <f t="shared" si="41"/>
        <v>0</v>
      </c>
      <c r="U35" s="4">
        <f>+'202401anual'!I80</f>
        <v>0</v>
      </c>
      <c r="V35" s="4">
        <v>0</v>
      </c>
      <c r="W35" s="4">
        <f t="shared" si="42"/>
        <v>0</v>
      </c>
      <c r="X35" s="4">
        <f>+'202401anual'!J80</f>
        <v>0</v>
      </c>
      <c r="Y35" s="4">
        <v>0</v>
      </c>
      <c r="Z35" s="4">
        <f t="shared" si="43"/>
        <v>0</v>
      </c>
      <c r="AA35" s="4">
        <f>+'202401anual'!K80</f>
        <v>0</v>
      </c>
      <c r="AB35" s="4"/>
      <c r="AC35" s="4">
        <f t="shared" si="44"/>
        <v>0</v>
      </c>
      <c r="AD35" s="4"/>
      <c r="AE35" s="4"/>
      <c r="AF35" s="4">
        <f t="shared" si="45"/>
        <v>0</v>
      </c>
      <c r="AG35" s="4"/>
      <c r="AH35" s="4"/>
      <c r="AI35" s="4">
        <f t="shared" si="46"/>
        <v>0</v>
      </c>
      <c r="AJ35" s="4">
        <f>+'202401anual'!N80</f>
        <v>0</v>
      </c>
      <c r="AK35" s="4"/>
      <c r="AL35" s="4">
        <f t="shared" si="47"/>
        <v>0</v>
      </c>
      <c r="AM35" s="4">
        <f t="shared" si="48"/>
        <v>0</v>
      </c>
      <c r="AN35" s="4">
        <f t="shared" si="49"/>
        <v>0</v>
      </c>
      <c r="AO35" s="4">
        <f t="shared" si="50"/>
        <v>0</v>
      </c>
      <c r="AP35" s="43" t="e">
        <f t="shared" si="52"/>
        <v>#DIV/0!</v>
      </c>
      <c r="AQ35" s="34">
        <f t="shared" si="15"/>
        <v>0</v>
      </c>
      <c r="AR35" s="38"/>
      <c r="AS35" s="125" t="s">
        <v>213</v>
      </c>
      <c r="AT35" s="107">
        <v>6500000</v>
      </c>
      <c r="AU35" s="106" t="s">
        <v>204</v>
      </c>
      <c r="AV35" s="107">
        <v>6300000</v>
      </c>
      <c r="AW35" s="106">
        <f>+AT35-AV35</f>
        <v>200000</v>
      </c>
    </row>
    <row r="36" spans="1:52" x14ac:dyDescent="0.25">
      <c r="A36" s="12" t="s">
        <v>52</v>
      </c>
      <c r="B36" s="8">
        <f t="shared" ref="B36:AO36" si="53">SUM(B29:B35)</f>
        <v>2339244693.4319592</v>
      </c>
      <c r="C36" s="8">
        <f t="shared" si="53"/>
        <v>240065348.03599662</v>
      </c>
      <c r="D36" s="8">
        <f t="shared" si="53"/>
        <v>101011278</v>
      </c>
      <c r="E36" s="8">
        <f t="shared" si="53"/>
        <v>139054070.03599662</v>
      </c>
      <c r="F36" s="8">
        <f t="shared" si="53"/>
        <v>223975490.03599662</v>
      </c>
      <c r="G36" s="8">
        <f t="shared" si="53"/>
        <v>99944518</v>
      </c>
      <c r="H36" s="8">
        <f t="shared" si="53"/>
        <v>124030972.03599662</v>
      </c>
      <c r="I36" s="7">
        <f t="shared" si="53"/>
        <v>114104141.15499662</v>
      </c>
      <c r="J36" s="8">
        <f t="shared" si="53"/>
        <v>103295533.23</v>
      </c>
      <c r="K36" s="8">
        <f t="shared" si="53"/>
        <v>10808607.924996614</v>
      </c>
      <c r="L36" s="8">
        <f t="shared" si="53"/>
        <v>128120641.15499662</v>
      </c>
      <c r="M36" s="8">
        <f t="shared" si="53"/>
        <v>198303925</v>
      </c>
      <c r="N36" s="8">
        <f t="shared" si="53"/>
        <v>-70183283.845003381</v>
      </c>
      <c r="O36" s="8">
        <f t="shared" si="53"/>
        <v>226720641.15499663</v>
      </c>
      <c r="P36" s="8">
        <f t="shared" si="53"/>
        <v>206509154</v>
      </c>
      <c r="Q36" s="8">
        <f t="shared" si="53"/>
        <v>20211487.154996634</v>
      </c>
      <c r="R36" s="8">
        <f t="shared" si="53"/>
        <v>240820641.15499663</v>
      </c>
      <c r="S36" s="8">
        <f t="shared" si="53"/>
        <v>157285944</v>
      </c>
      <c r="T36" s="8">
        <f>SUM(T29:T35)</f>
        <v>83534697.154996619</v>
      </c>
      <c r="U36" s="8">
        <f t="shared" si="53"/>
        <v>229160641.15499663</v>
      </c>
      <c r="V36" s="8">
        <f t="shared" si="53"/>
        <v>163700914</v>
      </c>
      <c r="W36" s="8">
        <f t="shared" si="53"/>
        <v>65459727.154996619</v>
      </c>
      <c r="X36" s="8">
        <f t="shared" si="53"/>
        <v>214220641.15499663</v>
      </c>
      <c r="Y36" s="8">
        <f t="shared" si="53"/>
        <v>170695170</v>
      </c>
      <c r="Z36" s="8">
        <f t="shared" si="53"/>
        <v>43525471.154996619</v>
      </c>
      <c r="AA36" s="8">
        <f t="shared" si="53"/>
        <v>201720641.15499663</v>
      </c>
      <c r="AB36" s="8">
        <f t="shared" si="53"/>
        <v>212120989</v>
      </c>
      <c r="AC36" s="8">
        <f t="shared" si="53"/>
        <v>-10400347.845003381</v>
      </c>
      <c r="AD36" s="8">
        <f t="shared" si="53"/>
        <v>217734449.15499663</v>
      </c>
      <c r="AE36" s="8">
        <f t="shared" si="53"/>
        <v>175861827.91</v>
      </c>
      <c r="AF36" s="8">
        <f t="shared" si="53"/>
        <v>41872621.244996622</v>
      </c>
      <c r="AG36" s="8">
        <f t="shared" si="53"/>
        <v>212425630.72599664</v>
      </c>
      <c r="AH36" s="8">
        <f t="shared" si="53"/>
        <v>170112390</v>
      </c>
      <c r="AI36" s="8">
        <f t="shared" si="53"/>
        <v>42313240.725996621</v>
      </c>
      <c r="AJ36" s="8">
        <f t="shared" si="53"/>
        <v>0</v>
      </c>
      <c r="AK36" s="8">
        <f t="shared" si="53"/>
        <v>0</v>
      </c>
      <c r="AL36" s="8">
        <f t="shared" si="53"/>
        <v>0</v>
      </c>
      <c r="AM36" s="8">
        <f t="shared" si="53"/>
        <v>2249068906.0379629</v>
      </c>
      <c r="AN36" s="8">
        <f t="shared" si="53"/>
        <v>1758841643.1399999</v>
      </c>
      <c r="AO36" s="8">
        <f t="shared" si="53"/>
        <v>490227262.89796269</v>
      </c>
      <c r="AP36" s="31">
        <f>+AO36/AM36</f>
        <v>0.21796898333433629</v>
      </c>
      <c r="AQ36" s="34">
        <f t="shared" si="15"/>
        <v>1.862645149230957E-7</v>
      </c>
      <c r="AR36" s="51">
        <f>+AI36/AG36*100</f>
        <v>19.919084425633919</v>
      </c>
      <c r="AS36" s="125" t="s">
        <v>221</v>
      </c>
      <c r="AT36" s="107"/>
      <c r="AU36" s="106" t="s">
        <v>204</v>
      </c>
      <c r="AV36" s="120">
        <v>11250000</v>
      </c>
      <c r="AW36" s="106">
        <f>+AT36-AV36</f>
        <v>-11250000</v>
      </c>
      <c r="AZ36" s="24"/>
    </row>
    <row r="37" spans="1:52" x14ac:dyDescent="0.25">
      <c r="A37" s="21" t="s">
        <v>55</v>
      </c>
      <c r="B37" s="4">
        <v>260086854.6773397</v>
      </c>
      <c r="C37" s="4">
        <v>21673904.556444976</v>
      </c>
      <c r="D37" s="4">
        <v>18308881.292999998</v>
      </c>
      <c r="E37" s="4">
        <f t="shared" si="37"/>
        <v>3365023.2634449787</v>
      </c>
      <c r="F37" s="4">
        <v>21673904.556444976</v>
      </c>
      <c r="G37" s="4">
        <v>17790867</v>
      </c>
      <c r="H37" s="4">
        <f t="shared" si="38"/>
        <v>3883037.5564449765</v>
      </c>
      <c r="I37" s="4">
        <f>+'202401anual'!E83</f>
        <v>21673904.556444976</v>
      </c>
      <c r="J37" s="4">
        <v>16912270</v>
      </c>
      <c r="K37" s="4">
        <f t="shared" si="39"/>
        <v>4761634.5564449765</v>
      </c>
      <c r="L37" s="84">
        <f>+'202401anual'!F83</f>
        <v>21673904.556444976</v>
      </c>
      <c r="M37" s="84">
        <v>17883642.150000002</v>
      </c>
      <c r="N37" s="4">
        <f t="shared" ref="N37:N49" si="54">+L37-M37</f>
        <v>3790262.4064449742</v>
      </c>
      <c r="O37" s="84">
        <f>+'202401anual'!G83</f>
        <v>21673904.556444976</v>
      </c>
      <c r="P37" s="84">
        <v>25169550</v>
      </c>
      <c r="Q37" s="84">
        <f t="shared" ref="Q37:Q49" si="55">+O37-P37</f>
        <v>-3495645.4435550235</v>
      </c>
      <c r="R37" s="84">
        <f>+'202401anual'!H83</f>
        <v>21673904.556444976</v>
      </c>
      <c r="S37" s="4">
        <f>40179185-20889158</f>
        <v>19290027</v>
      </c>
      <c r="T37" s="4">
        <f t="shared" si="41"/>
        <v>2383877.5564449765</v>
      </c>
      <c r="U37" s="84">
        <f>+'202401anual'!I83</f>
        <v>21673904.556444976</v>
      </c>
      <c r="V37" s="84">
        <v>20874611.699999999</v>
      </c>
      <c r="W37" s="4">
        <f t="shared" ref="W37:W49" si="56">+U37-V37</f>
        <v>799292.85644497722</v>
      </c>
      <c r="X37" s="4">
        <f>+'202401anual'!J83</f>
        <v>21673904.559999999</v>
      </c>
      <c r="Y37" s="84">
        <v>20956508.550000001</v>
      </c>
      <c r="Z37" s="4">
        <f t="shared" si="43"/>
        <v>717396.00999999791</v>
      </c>
      <c r="AA37" s="84">
        <f>+'202401anual'!K83</f>
        <v>21673904.559999999</v>
      </c>
      <c r="AB37" s="84">
        <v>20850068</v>
      </c>
      <c r="AC37" s="4">
        <f t="shared" si="44"/>
        <v>823836.55999999866</v>
      </c>
      <c r="AD37" s="84">
        <f>+'202401anual'!L83</f>
        <v>21673904.559999999</v>
      </c>
      <c r="AE37" s="84">
        <v>26825051.571585309</v>
      </c>
      <c r="AF37" s="4">
        <f t="shared" si="45"/>
        <v>-5151147.0115853101</v>
      </c>
      <c r="AG37" s="84">
        <f>+'202401anual'!N83</f>
        <v>21673904.559999999</v>
      </c>
      <c r="AH37" s="84">
        <v>21039037.699999999</v>
      </c>
      <c r="AI37" s="4">
        <f t="shared" si="46"/>
        <v>634866.8599999994</v>
      </c>
      <c r="AJ37" s="8"/>
      <c r="AK37" s="8"/>
      <c r="AL37" s="8"/>
      <c r="AM37" s="4">
        <f t="shared" si="48"/>
        <v>238412950.13511485</v>
      </c>
      <c r="AN37" s="4">
        <f t="shared" si="49"/>
        <v>225900514.9645853</v>
      </c>
      <c r="AO37" s="4">
        <f t="shared" si="50"/>
        <v>12512435.170529544</v>
      </c>
      <c r="AP37" s="43">
        <f t="shared" si="52"/>
        <v>5.2482195968962344</v>
      </c>
      <c r="AQ37" s="34">
        <f t="shared" si="15"/>
        <v>-2.2351741790771484E-8</v>
      </c>
      <c r="AR37" s="50"/>
      <c r="AS37" s="125" t="s">
        <v>214</v>
      </c>
      <c r="AT37" s="107">
        <v>5656000</v>
      </c>
      <c r="AU37" s="106" t="s">
        <v>204</v>
      </c>
      <c r="AV37" s="119">
        <v>8197500</v>
      </c>
      <c r="AW37" s="106">
        <f>+AT37-AV37</f>
        <v>-2541500</v>
      </c>
      <c r="AX37" s="2"/>
      <c r="AY37" s="80"/>
      <c r="AZ37" s="24"/>
    </row>
    <row r="38" spans="1:52" x14ac:dyDescent="0.25">
      <c r="A38" s="21" t="str">
        <f>+'202401anual'!A84</f>
        <v>Contribuciones CRA-SUPER</v>
      </c>
      <c r="B38" s="4">
        <f>+'202401anual'!B84</f>
        <v>50000000</v>
      </c>
      <c r="C38" s="4">
        <v>0</v>
      </c>
      <c r="D38" s="4">
        <v>0</v>
      </c>
      <c r="E38" s="4">
        <f t="shared" si="37"/>
        <v>0</v>
      </c>
      <c r="F38" s="4">
        <v>0</v>
      </c>
      <c r="G38" s="4">
        <v>23430000</v>
      </c>
      <c r="H38" s="4">
        <f t="shared" si="38"/>
        <v>-23430000</v>
      </c>
      <c r="I38" s="49">
        <f>+'202401anual'!E84</f>
        <v>0</v>
      </c>
      <c r="J38" s="4">
        <v>0</v>
      </c>
      <c r="K38" s="4">
        <f t="shared" si="39"/>
        <v>0</v>
      </c>
      <c r="L38" s="84">
        <f>+'202401anual'!F84</f>
        <v>0</v>
      </c>
      <c r="M38" s="84"/>
      <c r="N38" s="4">
        <f t="shared" si="54"/>
        <v>0</v>
      </c>
      <c r="O38" s="84">
        <f>+'202401anual'!G84</f>
        <v>0</v>
      </c>
      <c r="P38" s="84"/>
      <c r="Q38" s="84">
        <f t="shared" si="55"/>
        <v>0</v>
      </c>
      <c r="R38" s="84"/>
      <c r="S38" s="4">
        <v>0</v>
      </c>
      <c r="T38" s="4">
        <f t="shared" si="41"/>
        <v>0</v>
      </c>
      <c r="U38" s="84">
        <v>0</v>
      </c>
      <c r="V38" s="49">
        <v>0</v>
      </c>
      <c r="W38" s="4">
        <f t="shared" si="56"/>
        <v>0</v>
      </c>
      <c r="X38" s="4">
        <f>+'202401anual'!J84</f>
        <v>5000000</v>
      </c>
      <c r="Y38" s="84">
        <v>11197000</v>
      </c>
      <c r="Z38" s="4">
        <f t="shared" si="43"/>
        <v>-6197000</v>
      </c>
      <c r="AA38" s="84">
        <f>+'202401anual'!K84-30000000</f>
        <v>0</v>
      </c>
      <c r="AB38" s="84">
        <v>0</v>
      </c>
      <c r="AC38" s="89">
        <f t="shared" si="44"/>
        <v>0</v>
      </c>
      <c r="AD38" s="84">
        <f>+'202401anual'!L84</f>
        <v>14000000</v>
      </c>
      <c r="AE38" s="4">
        <v>0</v>
      </c>
      <c r="AF38" s="4">
        <f t="shared" si="45"/>
        <v>14000000</v>
      </c>
      <c r="AG38" s="84">
        <f>+'202401anual'!M84</f>
        <v>0</v>
      </c>
      <c r="AH38" s="84">
        <v>0</v>
      </c>
      <c r="AI38" s="4">
        <f t="shared" si="46"/>
        <v>0</v>
      </c>
      <c r="AJ38" s="8"/>
      <c r="AK38" s="8"/>
      <c r="AL38" s="8"/>
      <c r="AM38" s="4">
        <f t="shared" si="48"/>
        <v>19000000</v>
      </c>
      <c r="AN38" s="4">
        <f t="shared" si="49"/>
        <v>34627000</v>
      </c>
      <c r="AO38" s="4">
        <f t="shared" si="50"/>
        <v>-15627000</v>
      </c>
      <c r="AP38" s="43">
        <f t="shared" si="52"/>
        <v>-82.247368421052641</v>
      </c>
      <c r="AQ38" s="34">
        <f t="shared" si="15"/>
        <v>0</v>
      </c>
      <c r="AR38" s="50"/>
      <c r="AS38" s="125" t="s">
        <v>223</v>
      </c>
      <c r="AT38" s="107">
        <v>4294629</v>
      </c>
      <c r="AV38" s="119">
        <v>2000000</v>
      </c>
      <c r="AW38" s="106">
        <f t="shared" ref="AW38:AW39" si="57">+AT38-AV38</f>
        <v>2294629</v>
      </c>
      <c r="AX38" s="2"/>
      <c r="AZ38" s="24"/>
    </row>
    <row r="39" spans="1:52" x14ac:dyDescent="0.25">
      <c r="A39" s="21" t="str">
        <f>+'202401anual'!A85</f>
        <v>Servicios software INTEGRIN</v>
      </c>
      <c r="B39" s="4">
        <f>+'202401anual'!B85</f>
        <v>3000000</v>
      </c>
      <c r="C39" s="4">
        <v>900000</v>
      </c>
      <c r="D39" s="4">
        <v>0</v>
      </c>
      <c r="E39" s="4">
        <f t="shared" si="37"/>
        <v>900000</v>
      </c>
      <c r="F39" s="4">
        <v>900000</v>
      </c>
      <c r="G39" s="4">
        <v>0</v>
      </c>
      <c r="H39" s="4">
        <f t="shared" si="38"/>
        <v>900000</v>
      </c>
      <c r="I39" s="49">
        <f>+'202401anual'!E85</f>
        <v>0</v>
      </c>
      <c r="J39" s="4">
        <v>0</v>
      </c>
      <c r="K39" s="4">
        <f t="shared" si="39"/>
        <v>0</v>
      </c>
      <c r="L39" s="84">
        <f>+'202401anual'!F85</f>
        <v>0</v>
      </c>
      <c r="M39" s="84"/>
      <c r="N39" s="4">
        <f t="shared" si="54"/>
        <v>0</v>
      </c>
      <c r="O39" s="84">
        <f>+'202401anual'!G85</f>
        <v>0</v>
      </c>
      <c r="P39" s="84"/>
      <c r="Q39" s="84">
        <f t="shared" si="55"/>
        <v>0</v>
      </c>
      <c r="R39" s="84"/>
      <c r="S39" s="4">
        <v>0</v>
      </c>
      <c r="T39" s="4">
        <f t="shared" si="41"/>
        <v>0</v>
      </c>
      <c r="U39" s="84">
        <v>0</v>
      </c>
      <c r="V39" s="49">
        <v>0</v>
      </c>
      <c r="W39" s="4">
        <f t="shared" si="56"/>
        <v>0</v>
      </c>
      <c r="X39" s="4">
        <f>+'202401anual'!J85</f>
        <v>0</v>
      </c>
      <c r="Y39" s="84"/>
      <c r="Z39" s="4">
        <f t="shared" si="43"/>
        <v>0</v>
      </c>
      <c r="AA39" s="84">
        <f>+'202401anual'!K85</f>
        <v>0</v>
      </c>
      <c r="AB39" s="84">
        <v>0</v>
      </c>
      <c r="AC39" s="4">
        <f t="shared" si="44"/>
        <v>0</v>
      </c>
      <c r="AD39" s="84">
        <f>+'202401anual'!L85</f>
        <v>0</v>
      </c>
      <c r="AE39" s="4">
        <v>0</v>
      </c>
      <c r="AF39" s="4">
        <f t="shared" si="45"/>
        <v>0</v>
      </c>
      <c r="AG39" s="84">
        <f>+'202401anual'!M85</f>
        <v>0</v>
      </c>
      <c r="AH39" s="84">
        <v>0</v>
      </c>
      <c r="AI39" s="4">
        <f t="shared" si="46"/>
        <v>0</v>
      </c>
      <c r="AJ39" s="8"/>
      <c r="AK39" s="8"/>
      <c r="AL39" s="8"/>
      <c r="AM39" s="4">
        <f t="shared" si="48"/>
        <v>1800000</v>
      </c>
      <c r="AN39" s="4">
        <f t="shared" si="49"/>
        <v>0</v>
      </c>
      <c r="AO39" s="4">
        <f t="shared" si="50"/>
        <v>1800000</v>
      </c>
      <c r="AP39" s="43">
        <f t="shared" si="52"/>
        <v>100</v>
      </c>
      <c r="AQ39" s="34">
        <f t="shared" si="15"/>
        <v>0</v>
      </c>
      <c r="AR39" s="50"/>
      <c r="AS39" s="125" t="s">
        <v>213</v>
      </c>
      <c r="AT39" s="107">
        <v>6500000</v>
      </c>
      <c r="AV39" s="119">
        <v>6300000</v>
      </c>
      <c r="AW39" s="106">
        <f t="shared" si="57"/>
        <v>200000</v>
      </c>
      <c r="AX39" s="2"/>
      <c r="AZ39" s="24"/>
    </row>
    <row r="40" spans="1:52" x14ac:dyDescent="0.25">
      <c r="A40" s="21" t="str">
        <f>+'202401anual'!A93</f>
        <v>Dotación de papelería y facturación</v>
      </c>
      <c r="B40" s="4">
        <v>31500000</v>
      </c>
      <c r="C40" s="4">
        <v>0</v>
      </c>
      <c r="D40" s="4">
        <v>0</v>
      </c>
      <c r="E40" s="4">
        <f t="shared" si="37"/>
        <v>0</v>
      </c>
      <c r="F40" s="4">
        <v>0</v>
      </c>
      <c r="G40" s="4">
        <v>0</v>
      </c>
      <c r="H40" s="4">
        <f t="shared" si="38"/>
        <v>0</v>
      </c>
      <c r="I40" s="49">
        <f>+'202401anual'!E93</f>
        <v>0</v>
      </c>
      <c r="J40" s="4">
        <v>0</v>
      </c>
      <c r="K40" s="4">
        <f t="shared" si="39"/>
        <v>0</v>
      </c>
      <c r="L40" s="84">
        <f>+'202401anual'!F93</f>
        <v>3500000</v>
      </c>
      <c r="M40" s="84">
        <v>8345800</v>
      </c>
      <c r="N40" s="4">
        <f t="shared" si="54"/>
        <v>-4845800</v>
      </c>
      <c r="O40" s="84">
        <f>+'202401anual'!G93</f>
        <v>3500000</v>
      </c>
      <c r="P40" s="84"/>
      <c r="Q40" s="84">
        <f t="shared" si="55"/>
        <v>3500000</v>
      </c>
      <c r="R40" s="84">
        <f>+'202401anual'!H93</f>
        <v>3500000</v>
      </c>
      <c r="S40" s="4">
        <v>0</v>
      </c>
      <c r="T40" s="4">
        <f t="shared" si="41"/>
        <v>3500000</v>
      </c>
      <c r="U40" s="84">
        <f>+'202401anual'!I93</f>
        <v>3500000</v>
      </c>
      <c r="V40" s="49">
        <v>0</v>
      </c>
      <c r="W40" s="4">
        <f t="shared" si="56"/>
        <v>3500000</v>
      </c>
      <c r="X40" s="4">
        <f>+'202401anual'!J93</f>
        <v>3500000</v>
      </c>
      <c r="Y40" s="84">
        <v>5378500</v>
      </c>
      <c r="Z40" s="4">
        <f t="shared" si="43"/>
        <v>-1878500</v>
      </c>
      <c r="AA40" s="84">
        <f>+'202401anual'!K93</f>
        <v>3500000</v>
      </c>
      <c r="AB40" s="84">
        <v>3906700</v>
      </c>
      <c r="AC40" s="4">
        <f t="shared" si="44"/>
        <v>-406700</v>
      </c>
      <c r="AD40" s="84">
        <f>+'202401anual'!L93</f>
        <v>3500000</v>
      </c>
      <c r="AE40" s="4">
        <v>7900</v>
      </c>
      <c r="AF40" s="4">
        <f t="shared" si="45"/>
        <v>3492100</v>
      </c>
      <c r="AG40" s="84">
        <f>+'202401anual'!M93</f>
        <v>3500000</v>
      </c>
      <c r="AH40" s="84">
        <f>+[18]EjecucionPptalPasiva!$Q$365</f>
        <v>3506600</v>
      </c>
      <c r="AI40" s="4">
        <f t="shared" si="46"/>
        <v>-6600</v>
      </c>
      <c r="AJ40" s="8"/>
      <c r="AK40" s="8"/>
      <c r="AL40" s="8"/>
      <c r="AM40" s="4">
        <f t="shared" si="48"/>
        <v>28000000</v>
      </c>
      <c r="AN40" s="4">
        <f t="shared" si="49"/>
        <v>21145500</v>
      </c>
      <c r="AO40" s="4">
        <f t="shared" si="50"/>
        <v>6854500</v>
      </c>
      <c r="AP40" s="43">
        <f t="shared" si="52"/>
        <v>24.480357142857141</v>
      </c>
      <c r="AQ40" s="34">
        <f t="shared" si="15"/>
        <v>0</v>
      </c>
      <c r="AR40" s="50"/>
      <c r="AS40" s="2"/>
      <c r="AV40" s="2">
        <f>SUM(AV34:AV39)</f>
        <v>44607500</v>
      </c>
      <c r="AZ40" s="24"/>
    </row>
    <row r="41" spans="1:52" x14ac:dyDescent="0.25">
      <c r="A41" s="21" t="str">
        <f>+'202401anual'!A87</f>
        <v>Pagina WEB-Dominio actualizacion software</v>
      </c>
      <c r="B41" s="4">
        <v>369000</v>
      </c>
      <c r="C41" s="4">
        <v>0</v>
      </c>
      <c r="D41" s="4">
        <v>0</v>
      </c>
      <c r="E41" s="4">
        <f t="shared" si="37"/>
        <v>0</v>
      </c>
      <c r="F41" s="4">
        <v>0</v>
      </c>
      <c r="G41" s="4">
        <v>0</v>
      </c>
      <c r="H41" s="4">
        <f t="shared" si="38"/>
        <v>0</v>
      </c>
      <c r="I41" s="49">
        <f>+'202401anual'!E87</f>
        <v>0</v>
      </c>
      <c r="J41" s="4">
        <v>0</v>
      </c>
      <c r="K41" s="4">
        <f t="shared" si="39"/>
        <v>0</v>
      </c>
      <c r="L41" s="84">
        <f>+'202401anual'!F87</f>
        <v>0</v>
      </c>
      <c r="M41" s="84"/>
      <c r="N41" s="4">
        <f t="shared" si="54"/>
        <v>0</v>
      </c>
      <c r="O41" s="84">
        <f>+'202401anual'!G87</f>
        <v>0</v>
      </c>
      <c r="P41" s="84"/>
      <c r="Q41" s="84">
        <f t="shared" si="55"/>
        <v>0</v>
      </c>
      <c r="R41" s="84">
        <f>+'202401anual'!H87</f>
        <v>369000</v>
      </c>
      <c r="S41" s="4">
        <v>409980</v>
      </c>
      <c r="T41" s="4">
        <f t="shared" si="41"/>
        <v>-40980</v>
      </c>
      <c r="U41" s="84">
        <v>0</v>
      </c>
      <c r="V41" s="4">
        <v>0</v>
      </c>
      <c r="W41" s="4">
        <f t="shared" si="56"/>
        <v>0</v>
      </c>
      <c r="X41" s="4">
        <f>+'202401anual'!J87</f>
        <v>0</v>
      </c>
      <c r="Y41" s="84"/>
      <c r="Z41" s="4">
        <f t="shared" si="43"/>
        <v>0</v>
      </c>
      <c r="AA41" s="84">
        <f>+'202401anual'!K87</f>
        <v>0</v>
      </c>
      <c r="AB41" s="84">
        <v>0</v>
      </c>
      <c r="AC41" s="4">
        <f t="shared" si="44"/>
        <v>0</v>
      </c>
      <c r="AD41" s="84">
        <f>+'202401anual'!L87</f>
        <v>0</v>
      </c>
      <c r="AE41" s="4">
        <v>0</v>
      </c>
      <c r="AF41" s="4">
        <f t="shared" si="45"/>
        <v>0</v>
      </c>
      <c r="AG41" s="84">
        <f>+'202401anual'!M87</f>
        <v>0</v>
      </c>
      <c r="AH41" s="84">
        <v>0</v>
      </c>
      <c r="AI41" s="4">
        <f t="shared" si="46"/>
        <v>0</v>
      </c>
      <c r="AJ41" s="8"/>
      <c r="AK41" s="8"/>
      <c r="AL41" s="8"/>
      <c r="AM41" s="4">
        <f t="shared" si="48"/>
        <v>369000</v>
      </c>
      <c r="AN41" s="4">
        <f t="shared" si="49"/>
        <v>409980</v>
      </c>
      <c r="AO41" s="4">
        <f t="shared" si="50"/>
        <v>-40980</v>
      </c>
      <c r="AP41" s="43">
        <f t="shared" si="52"/>
        <v>-11.105691056910569</v>
      </c>
      <c r="AQ41" s="34">
        <f t="shared" si="15"/>
        <v>0</v>
      </c>
      <c r="AR41" s="50"/>
      <c r="AS41" s="2"/>
      <c r="AU41" s="2"/>
      <c r="AV41" s="24"/>
      <c r="AZ41" s="24"/>
    </row>
    <row r="42" spans="1:52" hidden="1" x14ac:dyDescent="0.25">
      <c r="A42" s="21" t="str">
        <f>+'202401anual'!A99</f>
        <v>Servicios personales de asesoría regulatoria, estudio de costos y tarifas</v>
      </c>
      <c r="B42" s="4">
        <f>+'202401anual'!B99</f>
        <v>0</v>
      </c>
      <c r="C42" s="4">
        <v>0</v>
      </c>
      <c r="D42" s="4">
        <v>0</v>
      </c>
      <c r="E42" s="4">
        <f t="shared" si="37"/>
        <v>0</v>
      </c>
      <c r="F42" s="4">
        <v>0</v>
      </c>
      <c r="G42" s="4">
        <v>0</v>
      </c>
      <c r="H42" s="4">
        <f t="shared" si="38"/>
        <v>0</v>
      </c>
      <c r="I42" s="49">
        <f>+'202401anual'!E99</f>
        <v>0</v>
      </c>
      <c r="J42" s="4">
        <v>0</v>
      </c>
      <c r="K42" s="4">
        <f t="shared" si="39"/>
        <v>0</v>
      </c>
      <c r="L42" s="84">
        <f>+'202401anual'!F99</f>
        <v>0</v>
      </c>
      <c r="M42" s="84"/>
      <c r="N42" s="4">
        <f t="shared" si="54"/>
        <v>0</v>
      </c>
      <c r="O42" s="84">
        <f>+'202401anual'!G99</f>
        <v>0</v>
      </c>
      <c r="P42" s="84"/>
      <c r="Q42" s="84">
        <f t="shared" si="55"/>
        <v>0</v>
      </c>
      <c r="R42" s="84"/>
      <c r="S42" s="4">
        <v>0</v>
      </c>
      <c r="T42" s="4">
        <f t="shared" si="41"/>
        <v>0</v>
      </c>
      <c r="U42" s="84"/>
      <c r="V42" s="4"/>
      <c r="W42" s="4">
        <f t="shared" si="56"/>
        <v>0</v>
      </c>
      <c r="X42" s="4"/>
      <c r="Y42" s="84"/>
      <c r="Z42" s="4">
        <f t="shared" si="43"/>
        <v>0</v>
      </c>
      <c r="AA42" s="84"/>
      <c r="AB42" s="84"/>
      <c r="AC42" s="4">
        <f t="shared" si="44"/>
        <v>0</v>
      </c>
      <c r="AD42" s="84"/>
      <c r="AE42" s="4"/>
      <c r="AF42" s="4">
        <f t="shared" si="45"/>
        <v>0</v>
      </c>
      <c r="AG42" s="84"/>
      <c r="AH42" s="84"/>
      <c r="AI42" s="4">
        <f t="shared" si="46"/>
        <v>0</v>
      </c>
      <c r="AJ42" s="8"/>
      <c r="AK42" s="8"/>
      <c r="AL42" s="8"/>
      <c r="AM42" s="4">
        <f t="shared" si="48"/>
        <v>0</v>
      </c>
      <c r="AN42" s="4">
        <f t="shared" si="49"/>
        <v>0</v>
      </c>
      <c r="AO42" s="4">
        <f t="shared" si="50"/>
        <v>0</v>
      </c>
      <c r="AP42" s="43" t="e">
        <f t="shared" si="52"/>
        <v>#DIV/0!</v>
      </c>
      <c r="AQ42" s="34">
        <f t="shared" si="15"/>
        <v>0</v>
      </c>
      <c r="AR42" s="50"/>
      <c r="AS42" s="2"/>
      <c r="AU42" s="2"/>
      <c r="AZ42" s="24"/>
    </row>
    <row r="43" spans="1:52" x14ac:dyDescent="0.25">
      <c r="A43" s="21" t="str">
        <f>+'202401anual'!A101</f>
        <v>Otras compras y servicios</v>
      </c>
      <c r="B43" s="4">
        <v>0</v>
      </c>
      <c r="C43" s="4">
        <v>0</v>
      </c>
      <c r="D43" s="4">
        <v>0</v>
      </c>
      <c r="E43" s="4">
        <f t="shared" si="37"/>
        <v>0</v>
      </c>
      <c r="F43" s="4">
        <v>0</v>
      </c>
      <c r="G43" s="4">
        <v>0</v>
      </c>
      <c r="H43" s="4">
        <f t="shared" si="38"/>
        <v>0</v>
      </c>
      <c r="I43" s="49">
        <f>+'202401anual'!E101</f>
        <v>0</v>
      </c>
      <c r="J43" s="4">
        <v>0</v>
      </c>
      <c r="K43" s="4">
        <f t="shared" si="39"/>
        <v>0</v>
      </c>
      <c r="L43" s="84">
        <f>+'202401anual'!F101</f>
        <v>0</v>
      </c>
      <c r="M43" s="84"/>
      <c r="N43" s="4">
        <f t="shared" si="54"/>
        <v>0</v>
      </c>
      <c r="O43" s="84">
        <f>+'202401anual'!G101</f>
        <v>0</v>
      </c>
      <c r="P43" s="84"/>
      <c r="Q43" s="84">
        <f t="shared" si="55"/>
        <v>0</v>
      </c>
      <c r="R43" s="84">
        <f>+'202401anual'!H101</f>
        <v>10000000</v>
      </c>
      <c r="S43" s="4">
        <v>0</v>
      </c>
      <c r="T43" s="4">
        <f t="shared" si="41"/>
        <v>10000000</v>
      </c>
      <c r="U43" s="84">
        <v>0</v>
      </c>
      <c r="V43" s="4">
        <v>0</v>
      </c>
      <c r="W43" s="4">
        <f t="shared" si="56"/>
        <v>0</v>
      </c>
      <c r="X43" s="4">
        <f>+'202401anual'!J101</f>
        <v>0</v>
      </c>
      <c r="Y43" s="84"/>
      <c r="Z43" s="4">
        <f t="shared" si="43"/>
        <v>0</v>
      </c>
      <c r="AA43" s="84">
        <v>0</v>
      </c>
      <c r="AB43" s="84">
        <v>9068500</v>
      </c>
      <c r="AC43" s="4">
        <f t="shared" si="44"/>
        <v>-9068500</v>
      </c>
      <c r="AD43" s="84">
        <v>0</v>
      </c>
      <c r="AE43" s="4">
        <v>0</v>
      </c>
      <c r="AF43" s="4">
        <f t="shared" si="45"/>
        <v>0</v>
      </c>
      <c r="AG43" s="84">
        <f>+'202401anual'!M101</f>
        <v>0</v>
      </c>
      <c r="AH43" s="84">
        <v>0</v>
      </c>
      <c r="AI43" s="4">
        <f t="shared" si="46"/>
        <v>0</v>
      </c>
      <c r="AJ43" s="8"/>
      <c r="AK43" s="8"/>
      <c r="AL43" s="8"/>
      <c r="AM43" s="4">
        <f t="shared" si="48"/>
        <v>10000000</v>
      </c>
      <c r="AN43" s="4">
        <f t="shared" si="49"/>
        <v>9068500</v>
      </c>
      <c r="AO43" s="4">
        <f t="shared" si="50"/>
        <v>931500</v>
      </c>
      <c r="AP43" s="43">
        <f t="shared" si="52"/>
        <v>9.3149999999999995</v>
      </c>
      <c r="AQ43" s="34">
        <f t="shared" si="15"/>
        <v>0</v>
      </c>
      <c r="AR43" s="50"/>
      <c r="AS43" s="2"/>
      <c r="AU43" s="2"/>
      <c r="AZ43" s="24"/>
    </row>
    <row r="44" spans="1:52" x14ac:dyDescent="0.25">
      <c r="A44" s="21" t="str">
        <f>+'202401anual'!A104</f>
        <v>Plan de medios</v>
      </c>
      <c r="B44" s="4">
        <v>98500718</v>
      </c>
      <c r="C44" s="4">
        <v>8208393.166666667</v>
      </c>
      <c r="D44" s="4">
        <v>1539900</v>
      </c>
      <c r="E44" s="4">
        <f t="shared" si="37"/>
        <v>6668493.166666667</v>
      </c>
      <c r="F44" s="4">
        <v>8208393.166666667</v>
      </c>
      <c r="G44" s="4">
        <v>5383100</v>
      </c>
      <c r="H44" s="4">
        <f t="shared" si="38"/>
        <v>2825293.166666667</v>
      </c>
      <c r="I44" s="4">
        <f>+'202401anual'!E104</f>
        <v>8208393.166666667</v>
      </c>
      <c r="J44" s="4">
        <v>10608520</v>
      </c>
      <c r="K44" s="4">
        <f t="shared" si="39"/>
        <v>-2400126.833333333</v>
      </c>
      <c r="L44" s="84">
        <v>5867900</v>
      </c>
      <c r="M44" s="84">
        <f>2000000+5382200+1593000</f>
        <v>8975200</v>
      </c>
      <c r="N44" s="4">
        <f t="shared" si="54"/>
        <v>-3107300</v>
      </c>
      <c r="O44" s="84">
        <f>+'202401anual'!G104</f>
        <v>5867900</v>
      </c>
      <c r="P44" s="84">
        <f>1593000+3789200+2000000</f>
        <v>7382200</v>
      </c>
      <c r="Q44" s="84">
        <f t="shared" si="55"/>
        <v>-1514300</v>
      </c>
      <c r="R44" s="84">
        <f>+'202401anual'!H104</f>
        <v>5867900</v>
      </c>
      <c r="S44" s="4">
        <f>2000000+5382200</f>
        <v>7382200</v>
      </c>
      <c r="T44" s="4">
        <f t="shared" si="41"/>
        <v>-1514300</v>
      </c>
      <c r="U44" s="84">
        <f>+'202401anual'!I104+10100000</f>
        <v>32699618</v>
      </c>
      <c r="V44" s="4">
        <f>2000000+1593000</f>
        <v>3593000</v>
      </c>
      <c r="W44" s="4">
        <f t="shared" si="56"/>
        <v>29106618</v>
      </c>
      <c r="X44" s="4">
        <f>+'202401anual'!J104+2600000</f>
        <v>9920005</v>
      </c>
      <c r="Y44" s="84">
        <v>28617000</v>
      </c>
      <c r="Z44" s="4">
        <f t="shared" si="43"/>
        <v>-18696995</v>
      </c>
      <c r="AA44" s="84">
        <v>0</v>
      </c>
      <c r="AB44" s="84">
        <v>18905200</v>
      </c>
      <c r="AC44" s="4">
        <f t="shared" si="44"/>
        <v>-18905200</v>
      </c>
      <c r="AD44" s="84">
        <f>+'202401anual'!L104</f>
        <v>5867900</v>
      </c>
      <c r="AE44" s="4">
        <f>2000000+5382200+16557532+3789200+1593000+2000000</f>
        <v>31321932</v>
      </c>
      <c r="AF44" s="4">
        <f t="shared" si="45"/>
        <v>-25454032</v>
      </c>
      <c r="AG44" s="84">
        <f>+'202401anual'!M104</f>
        <v>5867900</v>
      </c>
      <c r="AH44" s="84">
        <f>+[18]EjecucionPptalPasiva!$Q$363+[18]EjecucionPptalPasiva!$Q$372+3789200+1593000+2000000</f>
        <v>14764400</v>
      </c>
      <c r="AI44" s="4">
        <f t="shared" si="46"/>
        <v>-8896500</v>
      </c>
      <c r="AJ44" s="8"/>
      <c r="AK44" s="8"/>
      <c r="AL44" s="8"/>
      <c r="AM44" s="4">
        <f t="shared" si="48"/>
        <v>96584302.5</v>
      </c>
      <c r="AN44" s="4">
        <f t="shared" si="49"/>
        <v>138472652</v>
      </c>
      <c r="AO44" s="4">
        <f t="shared" si="50"/>
        <v>-41888349.5</v>
      </c>
      <c r="AP44" s="43">
        <f t="shared" si="52"/>
        <v>-43.369728222658125</v>
      </c>
      <c r="AQ44" s="34">
        <f t="shared" si="15"/>
        <v>0</v>
      </c>
      <c r="AR44" s="50"/>
      <c r="AS44" s="2"/>
      <c r="AZ44" s="24"/>
    </row>
    <row r="45" spans="1:52" x14ac:dyDescent="0.25">
      <c r="A45" s="21" t="str">
        <f>+'202401anual'!A114</f>
        <v>Recaudos</v>
      </c>
      <c r="B45" s="4">
        <f>+'202401anual'!B114</f>
        <v>15000000</v>
      </c>
      <c r="C45" s="4">
        <v>1500000</v>
      </c>
      <c r="D45" s="49"/>
      <c r="E45" s="4">
        <f t="shared" si="37"/>
        <v>1500000</v>
      </c>
      <c r="F45" s="4">
        <v>1500000</v>
      </c>
      <c r="G45" s="4">
        <v>0</v>
      </c>
      <c r="H45" s="4">
        <f t="shared" si="38"/>
        <v>1500000</v>
      </c>
      <c r="I45" s="4">
        <f>+'202401anual'!E114</f>
        <v>1200000</v>
      </c>
      <c r="J45" s="4">
        <v>0</v>
      </c>
      <c r="K45" s="4">
        <f t="shared" si="39"/>
        <v>1200000</v>
      </c>
      <c r="L45" s="84">
        <v>1250000</v>
      </c>
      <c r="M45" s="84">
        <v>1019830</v>
      </c>
      <c r="N45" s="4">
        <f t="shared" si="54"/>
        <v>230170</v>
      </c>
      <c r="O45" s="84">
        <f>+'202401anual'!H114</f>
        <v>1250000</v>
      </c>
      <c r="P45" s="84">
        <v>57400</v>
      </c>
      <c r="Q45" s="84">
        <f t="shared" si="55"/>
        <v>1192600</v>
      </c>
      <c r="R45" s="84">
        <f>+'202401anual'!H114</f>
        <v>1250000</v>
      </c>
      <c r="S45" s="4">
        <v>0</v>
      </c>
      <c r="T45" s="4">
        <f t="shared" si="41"/>
        <v>1250000</v>
      </c>
      <c r="U45" s="84">
        <f>+'202401anual'!I114</f>
        <v>1250000</v>
      </c>
      <c r="V45" s="4"/>
      <c r="W45" s="4">
        <f t="shared" si="56"/>
        <v>1250000</v>
      </c>
      <c r="X45" s="4">
        <f>+'202401anual'!J114</f>
        <v>1250000</v>
      </c>
      <c r="Y45" s="84">
        <v>9400</v>
      </c>
      <c r="Z45" s="4">
        <f t="shared" si="43"/>
        <v>1240600</v>
      </c>
      <c r="AA45" s="84">
        <f>+'202401anual'!K114</f>
        <v>1250000</v>
      </c>
      <c r="AB45" s="84">
        <v>47000</v>
      </c>
      <c r="AC45" s="4">
        <f t="shared" si="44"/>
        <v>1203000</v>
      </c>
      <c r="AD45" s="84">
        <f>+'202401anual'!L114</f>
        <v>1250000</v>
      </c>
      <c r="AE45" s="4">
        <v>3586219</v>
      </c>
      <c r="AF45" s="4">
        <f t="shared" si="45"/>
        <v>-2336219</v>
      </c>
      <c r="AG45" s="84">
        <f>+'202401anual'!M114</f>
        <v>1250000</v>
      </c>
      <c r="AH45" s="84">
        <f>+[18]EjecucionPptalPasiva!$Q$382</f>
        <v>749798</v>
      </c>
      <c r="AI45" s="4">
        <f t="shared" si="46"/>
        <v>500202</v>
      </c>
      <c r="AJ45" s="8"/>
      <c r="AK45" s="8"/>
      <c r="AL45" s="8"/>
      <c r="AM45" s="4">
        <f t="shared" si="48"/>
        <v>14200000</v>
      </c>
      <c r="AN45" s="4">
        <f t="shared" si="49"/>
        <v>5469647</v>
      </c>
      <c r="AO45" s="4">
        <f t="shared" si="50"/>
        <v>8730353</v>
      </c>
      <c r="AP45" s="43">
        <f t="shared" si="52"/>
        <v>61.481359154929585</v>
      </c>
      <c r="AQ45" s="34">
        <f t="shared" si="15"/>
        <v>0</v>
      </c>
      <c r="AR45" s="50"/>
      <c r="AS45" s="2"/>
      <c r="AU45" s="2"/>
      <c r="AZ45" s="24"/>
    </row>
    <row r="46" spans="1:52" x14ac:dyDescent="0.25">
      <c r="A46" s="21" t="str">
        <f>+'202401anual'!A120</f>
        <v xml:space="preserve">Alquiler de mulas y vehículos de transporte </v>
      </c>
      <c r="B46" s="4">
        <f>+'202401anual'!B120</f>
        <v>89520000</v>
      </c>
      <c r="C46" s="4">
        <v>6000000</v>
      </c>
      <c r="D46" s="4">
        <v>11940000</v>
      </c>
      <c r="E46" s="4">
        <f t="shared" si="37"/>
        <v>-5940000</v>
      </c>
      <c r="F46" s="4">
        <v>6000000</v>
      </c>
      <c r="G46" s="4">
        <v>9380000</v>
      </c>
      <c r="H46" s="4">
        <f t="shared" si="38"/>
        <v>-3380000</v>
      </c>
      <c r="I46" s="4">
        <f>+'202401anual'!E120-7752000</f>
        <v>0</v>
      </c>
      <c r="J46" s="4">
        <v>0</v>
      </c>
      <c r="K46" s="4">
        <f t="shared" si="39"/>
        <v>0</v>
      </c>
      <c r="L46" s="84">
        <v>6820000</v>
      </c>
      <c r="M46" s="84">
        <v>13420000</v>
      </c>
      <c r="N46" s="4">
        <f t="shared" si="54"/>
        <v>-6600000</v>
      </c>
      <c r="O46" s="84">
        <f>+'202401anual'!G120</f>
        <v>6820000</v>
      </c>
      <c r="P46" s="84">
        <v>6820000</v>
      </c>
      <c r="Q46" s="84">
        <f t="shared" si="55"/>
        <v>0</v>
      </c>
      <c r="R46" s="84">
        <f>+'202401anual'!H120</f>
        <v>6820000</v>
      </c>
      <c r="S46" s="4">
        <v>0</v>
      </c>
      <c r="T46" s="4">
        <f t="shared" si="41"/>
        <v>6820000</v>
      </c>
      <c r="U46" s="84">
        <f>+'202401anual'!I120</f>
        <v>6820000</v>
      </c>
      <c r="V46" s="4">
        <v>13400</v>
      </c>
      <c r="W46" s="4">
        <f t="shared" si="56"/>
        <v>6806600</v>
      </c>
      <c r="X46" s="4">
        <f>+'202401anual'!J120</f>
        <v>6820000</v>
      </c>
      <c r="Y46" s="84">
        <v>2860000</v>
      </c>
      <c r="Z46" s="4">
        <f t="shared" si="43"/>
        <v>3960000</v>
      </c>
      <c r="AA46" s="84">
        <f>+'202401anual'!K120</f>
        <v>6820000</v>
      </c>
      <c r="AB46" s="84">
        <v>6600000</v>
      </c>
      <c r="AC46" s="4">
        <f t="shared" si="44"/>
        <v>220000</v>
      </c>
      <c r="AD46" s="84">
        <f>+'202401anual'!L120</f>
        <v>6820000</v>
      </c>
      <c r="AE46" s="4">
        <v>6820000</v>
      </c>
      <c r="AF46" s="4">
        <f t="shared" si="45"/>
        <v>0</v>
      </c>
      <c r="AG46" s="84">
        <f>+'202401anual'!M120</f>
        <v>6820000</v>
      </c>
      <c r="AH46" s="84">
        <v>6820000</v>
      </c>
      <c r="AI46" s="4">
        <f t="shared" si="46"/>
        <v>0</v>
      </c>
      <c r="AJ46" s="8"/>
      <c r="AK46" s="8"/>
      <c r="AL46" s="8"/>
      <c r="AM46" s="4">
        <f t="shared" si="48"/>
        <v>66560000</v>
      </c>
      <c r="AN46" s="4">
        <f t="shared" si="49"/>
        <v>64673400</v>
      </c>
      <c r="AO46" s="4">
        <f t="shared" si="50"/>
        <v>1886600</v>
      </c>
      <c r="AP46" s="43">
        <f t="shared" si="52"/>
        <v>2.8344350961538463</v>
      </c>
      <c r="AQ46" s="34">
        <f t="shared" si="15"/>
        <v>0</v>
      </c>
      <c r="AR46" s="50"/>
      <c r="AS46" s="2"/>
      <c r="AZ46" s="24"/>
    </row>
    <row r="47" spans="1:52" hidden="1" x14ac:dyDescent="0.25">
      <c r="A47" s="21" t="str">
        <f>+'202401anual'!A132</f>
        <v>Asesoria y argue sui</v>
      </c>
      <c r="B47" s="4">
        <f>+'202401anual'!B132</f>
        <v>0</v>
      </c>
      <c r="C47" s="4">
        <v>0</v>
      </c>
      <c r="D47" s="49">
        <v>0</v>
      </c>
      <c r="E47" s="4">
        <f t="shared" si="37"/>
        <v>0</v>
      </c>
      <c r="F47" s="4">
        <v>0</v>
      </c>
      <c r="G47" s="4">
        <v>0</v>
      </c>
      <c r="H47" s="4">
        <f t="shared" si="38"/>
        <v>0</v>
      </c>
      <c r="I47" s="4">
        <f>+'202401anual'!E132</f>
        <v>0</v>
      </c>
      <c r="J47" s="4">
        <v>0</v>
      </c>
      <c r="K47" s="4">
        <f t="shared" si="39"/>
        <v>0</v>
      </c>
      <c r="L47" s="84">
        <f>+'202401anual'!F132</f>
        <v>0</v>
      </c>
      <c r="M47" s="84"/>
      <c r="N47" s="4">
        <f t="shared" si="54"/>
        <v>0</v>
      </c>
      <c r="O47" s="84"/>
      <c r="P47" s="84"/>
      <c r="Q47" s="84">
        <f t="shared" si="55"/>
        <v>0</v>
      </c>
      <c r="R47" s="84"/>
      <c r="S47" s="4">
        <v>0</v>
      </c>
      <c r="T47" s="4">
        <f t="shared" si="41"/>
        <v>0</v>
      </c>
      <c r="U47" s="84"/>
      <c r="V47" s="4"/>
      <c r="W47" s="4">
        <f t="shared" si="56"/>
        <v>0</v>
      </c>
      <c r="X47" s="4"/>
      <c r="Y47" s="84"/>
      <c r="Z47" s="4">
        <f t="shared" si="43"/>
        <v>0</v>
      </c>
      <c r="AA47" s="84"/>
      <c r="AB47" s="84"/>
      <c r="AC47" s="4">
        <f t="shared" si="44"/>
        <v>0</v>
      </c>
      <c r="AD47" s="84"/>
      <c r="AE47" s="4"/>
      <c r="AF47" s="4">
        <f t="shared" si="45"/>
        <v>0</v>
      </c>
      <c r="AG47" s="84"/>
      <c r="AH47" s="84"/>
      <c r="AI47" s="4">
        <f t="shared" si="46"/>
        <v>0</v>
      </c>
      <c r="AJ47" s="8"/>
      <c r="AK47" s="8"/>
      <c r="AL47" s="8"/>
      <c r="AM47" s="4">
        <f t="shared" si="48"/>
        <v>0</v>
      </c>
      <c r="AN47" s="4">
        <f t="shared" si="49"/>
        <v>0</v>
      </c>
      <c r="AO47" s="4">
        <f t="shared" si="50"/>
        <v>0</v>
      </c>
      <c r="AP47" s="43" t="e">
        <f t="shared" si="52"/>
        <v>#DIV/0!</v>
      </c>
      <c r="AQ47" s="34">
        <f t="shared" si="15"/>
        <v>0</v>
      </c>
      <c r="AR47" s="50"/>
      <c r="AS47" s="2"/>
      <c r="AZ47" s="24"/>
    </row>
    <row r="48" spans="1:52" x14ac:dyDescent="0.25">
      <c r="A48" s="21" t="str">
        <f>+'202401anual'!A118</f>
        <v>Transporte Agua potable</v>
      </c>
      <c r="B48" s="4">
        <f>+'202401anual'!B118</f>
        <v>80000000</v>
      </c>
      <c r="C48" s="4">
        <v>15930000</v>
      </c>
      <c r="D48" s="49">
        <v>0</v>
      </c>
      <c r="E48" s="4">
        <f t="shared" si="37"/>
        <v>15930000</v>
      </c>
      <c r="F48" s="4">
        <v>15930000</v>
      </c>
      <c r="G48" s="4">
        <v>0</v>
      </c>
      <c r="H48" s="4">
        <f t="shared" si="38"/>
        <v>15930000</v>
      </c>
      <c r="I48" s="49">
        <f>+'202401anual'!E118</f>
        <v>0</v>
      </c>
      <c r="J48" s="4">
        <v>0</v>
      </c>
      <c r="K48" s="4">
        <f t="shared" si="39"/>
        <v>0</v>
      </c>
      <c r="L48" s="84">
        <v>15930000</v>
      </c>
      <c r="M48" s="84">
        <v>8200000</v>
      </c>
      <c r="N48" s="4">
        <f t="shared" si="54"/>
        <v>7730000</v>
      </c>
      <c r="O48" s="84">
        <v>15930000</v>
      </c>
      <c r="P48" s="84">
        <v>14200000</v>
      </c>
      <c r="Q48" s="84">
        <f t="shared" si="55"/>
        <v>1730000</v>
      </c>
      <c r="R48" s="84">
        <f>+'202401anual'!H118</f>
        <v>15930000</v>
      </c>
      <c r="S48" s="4">
        <f>463600+25708000+704600</f>
        <v>26876200</v>
      </c>
      <c r="T48" s="4">
        <f t="shared" si="41"/>
        <v>-10946200</v>
      </c>
      <c r="U48" s="84">
        <f>+'202401anual'!I118</f>
        <v>15930000</v>
      </c>
      <c r="V48" s="4">
        <v>5000000</v>
      </c>
      <c r="W48" s="4">
        <f t="shared" si="56"/>
        <v>10930000</v>
      </c>
      <c r="X48" s="4">
        <f>+'202401anual'!J118</f>
        <v>15930000</v>
      </c>
      <c r="Y48" s="84">
        <v>6200000</v>
      </c>
      <c r="Z48" s="4">
        <f t="shared" si="43"/>
        <v>9730000</v>
      </c>
      <c r="AA48" s="84">
        <f>+'202401anual'!K118-15930000</f>
        <v>0</v>
      </c>
      <c r="AB48" s="84">
        <v>0</v>
      </c>
      <c r="AC48" s="4">
        <f t="shared" si="44"/>
        <v>0</v>
      </c>
      <c r="AD48" s="84">
        <f>+'202401anual'!L118</f>
        <v>15930000</v>
      </c>
      <c r="AE48" s="4">
        <v>3800000</v>
      </c>
      <c r="AF48" s="4">
        <f t="shared" si="45"/>
        <v>12130000</v>
      </c>
      <c r="AG48" s="84">
        <f>+'202401anual'!M118</f>
        <v>15930000</v>
      </c>
      <c r="AH48" s="84">
        <f>+[18]EjecucionPptalPasiva!$Q$371</f>
        <v>4600000</v>
      </c>
      <c r="AI48" s="4">
        <f t="shared" si="46"/>
        <v>11330000</v>
      </c>
      <c r="AJ48" s="8"/>
      <c r="AK48" s="8"/>
      <c r="AL48" s="8"/>
      <c r="AM48" s="4">
        <f t="shared" si="48"/>
        <v>143370000</v>
      </c>
      <c r="AN48" s="4">
        <f t="shared" si="49"/>
        <v>68876200</v>
      </c>
      <c r="AO48" s="4">
        <f t="shared" si="50"/>
        <v>74493800</v>
      </c>
      <c r="AP48" s="43">
        <f t="shared" si="52"/>
        <v>51.959126735021279</v>
      </c>
      <c r="AQ48" s="34">
        <f t="shared" si="15"/>
        <v>0</v>
      </c>
      <c r="AR48" s="50"/>
      <c r="AS48" s="106"/>
      <c r="AZ48" s="24"/>
    </row>
    <row r="49" spans="1:52" x14ac:dyDescent="0.25">
      <c r="A49" s="21" t="str">
        <f>+'202401anual'!A135</f>
        <v>Camp-de sensi-y concient PUEAA (inc-materiales)</v>
      </c>
      <c r="B49" s="4">
        <f>+'202401anual'!B135</f>
        <v>20000000</v>
      </c>
      <c r="C49" s="4">
        <v>3500000</v>
      </c>
      <c r="D49" s="4">
        <v>0</v>
      </c>
      <c r="E49" s="4">
        <f t="shared" si="37"/>
        <v>3500000</v>
      </c>
      <c r="F49" s="4">
        <v>3500000</v>
      </c>
      <c r="G49" s="4">
        <v>0</v>
      </c>
      <c r="H49" s="4">
        <f t="shared" si="38"/>
        <v>3500000</v>
      </c>
      <c r="I49" s="49">
        <f>+'202401anual'!E135</f>
        <v>0</v>
      </c>
      <c r="J49" s="4">
        <v>0</v>
      </c>
      <c r="K49" s="4">
        <f t="shared" si="39"/>
        <v>0</v>
      </c>
      <c r="L49" s="84">
        <f>+'202401anual'!F135</f>
        <v>0</v>
      </c>
      <c r="M49" s="84"/>
      <c r="N49" s="4">
        <f t="shared" si="54"/>
        <v>0</v>
      </c>
      <c r="O49" s="84">
        <f>+'202401anual'!G135</f>
        <v>4000000</v>
      </c>
      <c r="P49" s="84"/>
      <c r="Q49" s="84">
        <f t="shared" si="55"/>
        <v>4000000</v>
      </c>
      <c r="R49" s="84">
        <f>+'202401anual'!H135</f>
        <v>4000000</v>
      </c>
      <c r="S49" s="4">
        <v>0</v>
      </c>
      <c r="T49" s="4">
        <f t="shared" si="41"/>
        <v>4000000</v>
      </c>
      <c r="U49" s="84">
        <f>+'202401anual'!I135</f>
        <v>2000000</v>
      </c>
      <c r="V49" s="4"/>
      <c r="W49" s="4">
        <f t="shared" si="56"/>
        <v>2000000</v>
      </c>
      <c r="X49" s="4">
        <f>+'202401anual'!J135</f>
        <v>2000000</v>
      </c>
      <c r="Y49" s="84">
        <v>0</v>
      </c>
      <c r="Z49" s="4">
        <f t="shared" si="43"/>
        <v>2000000</v>
      </c>
      <c r="AA49" s="84">
        <f>+'202401anual'!K135-2000000</f>
        <v>0</v>
      </c>
      <c r="AB49" s="84">
        <v>0</v>
      </c>
      <c r="AC49" s="4">
        <f t="shared" si="44"/>
        <v>0</v>
      </c>
      <c r="AD49" s="84">
        <f>+'202401anual'!L135</f>
        <v>2000000</v>
      </c>
      <c r="AE49" s="4">
        <v>0</v>
      </c>
      <c r="AF49" s="4">
        <f t="shared" si="45"/>
        <v>2000000</v>
      </c>
      <c r="AG49" s="84">
        <f>+'202401anual'!M135</f>
        <v>2000000</v>
      </c>
      <c r="AH49" s="84">
        <f>+[18]EjecucionPptalPasiva!$Q$378</f>
        <v>10623100</v>
      </c>
      <c r="AI49" s="4">
        <f t="shared" si="46"/>
        <v>-8623100</v>
      </c>
      <c r="AJ49" s="8"/>
      <c r="AK49" s="8"/>
      <c r="AL49" s="8"/>
      <c r="AM49" s="4">
        <f t="shared" si="48"/>
        <v>23000000</v>
      </c>
      <c r="AN49" s="4">
        <f t="shared" si="49"/>
        <v>10623100</v>
      </c>
      <c r="AO49" s="4">
        <f t="shared" si="50"/>
        <v>12376900</v>
      </c>
      <c r="AP49" s="43">
        <f t="shared" si="52"/>
        <v>53.812608695652173</v>
      </c>
      <c r="AQ49" s="34">
        <f t="shared" si="15"/>
        <v>0</v>
      </c>
      <c r="AR49" s="50"/>
      <c r="AS49" s="106"/>
      <c r="AZ49" s="24"/>
    </row>
    <row r="50" spans="1:52" x14ac:dyDescent="0.25">
      <c r="A50" s="12" t="s">
        <v>185</v>
      </c>
      <c r="B50" s="8">
        <f>SUM(B37:B49)</f>
        <v>647976572.67733967</v>
      </c>
      <c r="C50" s="8">
        <f>SUM(C37:C49)</f>
        <v>57712297.723111644</v>
      </c>
      <c r="D50" s="8">
        <f t="shared" ref="D50:AO50" si="58">SUM(D37:D49)</f>
        <v>31788781.292999998</v>
      </c>
      <c r="E50" s="8">
        <f t="shared" si="58"/>
        <v>25923516.430111647</v>
      </c>
      <c r="F50" s="8">
        <f>SUM(F37:F49)</f>
        <v>57712297.723111644</v>
      </c>
      <c r="G50" s="8">
        <f t="shared" si="58"/>
        <v>55983967</v>
      </c>
      <c r="H50" s="8">
        <f t="shared" si="58"/>
        <v>1728330.7231116444</v>
      </c>
      <c r="I50" s="8">
        <f t="shared" si="58"/>
        <v>31082297.723111644</v>
      </c>
      <c r="J50" s="8">
        <f>SUM(J37:J49)</f>
        <v>27520790</v>
      </c>
      <c r="K50" s="8">
        <f t="shared" si="58"/>
        <v>3561507.7231116435</v>
      </c>
      <c r="L50" s="8">
        <f t="shared" si="58"/>
        <v>55041804.556444973</v>
      </c>
      <c r="M50" s="8">
        <f t="shared" si="58"/>
        <v>57844472.150000006</v>
      </c>
      <c r="N50" s="8">
        <f t="shared" si="58"/>
        <v>-2802667.5935550258</v>
      </c>
      <c r="O50" s="8">
        <f t="shared" si="58"/>
        <v>59041804.556444973</v>
      </c>
      <c r="P50" s="8">
        <f>SUM(P37:P49)</f>
        <v>53629150</v>
      </c>
      <c r="Q50" s="8">
        <f t="shared" si="58"/>
        <v>5412654.5564449765</v>
      </c>
      <c r="R50" s="8">
        <f t="shared" si="58"/>
        <v>69410804.556444973</v>
      </c>
      <c r="S50" s="8">
        <f t="shared" si="58"/>
        <v>53958407</v>
      </c>
      <c r="T50" s="8">
        <f>SUM(T37:T49)</f>
        <v>15452397.556444976</v>
      </c>
      <c r="U50" s="8">
        <f t="shared" si="58"/>
        <v>83873522.556444973</v>
      </c>
      <c r="V50" s="8">
        <f t="shared" si="58"/>
        <v>29481011.699999999</v>
      </c>
      <c r="W50" s="8">
        <f t="shared" si="58"/>
        <v>54392510.856444977</v>
      </c>
      <c r="X50" s="8">
        <f t="shared" si="58"/>
        <v>66093909.560000002</v>
      </c>
      <c r="Y50" s="8">
        <f t="shared" si="58"/>
        <v>75218408.549999997</v>
      </c>
      <c r="Z50" s="8">
        <f t="shared" si="58"/>
        <v>-9124498.9900000021</v>
      </c>
      <c r="AA50" s="8">
        <f t="shared" si="58"/>
        <v>33243904.559999999</v>
      </c>
      <c r="AB50" s="8">
        <f t="shared" si="58"/>
        <v>59377468</v>
      </c>
      <c r="AC50" s="8">
        <f t="shared" si="58"/>
        <v>-26133563.440000001</v>
      </c>
      <c r="AD50" s="8">
        <f t="shared" si="58"/>
        <v>71041804.560000002</v>
      </c>
      <c r="AE50" s="8">
        <f t="shared" si="58"/>
        <v>72361102.571585312</v>
      </c>
      <c r="AF50" s="8">
        <f t="shared" si="58"/>
        <v>-1319298.0115853101</v>
      </c>
      <c r="AG50" s="8">
        <f t="shared" si="58"/>
        <v>57041804.560000002</v>
      </c>
      <c r="AH50" s="8">
        <f t="shared" si="58"/>
        <v>62102935.700000003</v>
      </c>
      <c r="AI50" s="8">
        <f t="shared" si="58"/>
        <v>-5061131.1400000006</v>
      </c>
      <c r="AJ50" s="8">
        <f t="shared" si="58"/>
        <v>0</v>
      </c>
      <c r="AK50" s="8">
        <f t="shared" si="58"/>
        <v>0</v>
      </c>
      <c r="AL50" s="8">
        <f t="shared" si="58"/>
        <v>0</v>
      </c>
      <c r="AM50" s="8">
        <f t="shared" si="58"/>
        <v>641296252.63511491</v>
      </c>
      <c r="AN50" s="8">
        <f t="shared" si="58"/>
        <v>579266493.9645853</v>
      </c>
      <c r="AO50" s="8">
        <f t="shared" si="58"/>
        <v>62029758.670529544</v>
      </c>
      <c r="AP50" s="31">
        <f>+AO50/AM50</f>
        <v>9.6725590420412566E-2</v>
      </c>
      <c r="AQ50" s="34">
        <f t="shared" si="15"/>
        <v>-2.9802322387695313E-8</v>
      </c>
      <c r="AR50" s="51">
        <f>+AI50/AG50*100</f>
        <v>-8.872670104039921</v>
      </c>
      <c r="AS50" s="2"/>
      <c r="AZ50" s="24"/>
    </row>
    <row r="51" spans="1:52" hidden="1" x14ac:dyDescent="0.25">
      <c r="A51" s="21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72"/>
      <c r="AQ51" s="34">
        <f t="shared" si="15"/>
        <v>0</v>
      </c>
      <c r="AR51" s="50"/>
      <c r="AS51" s="2"/>
      <c r="AY51" s="75"/>
      <c r="AZ51" s="24"/>
    </row>
    <row r="52" spans="1:52" x14ac:dyDescent="0.25">
      <c r="A52" s="21" t="s">
        <v>54</v>
      </c>
      <c r="B52" s="4">
        <f>+'202401anual'!B82</f>
        <v>321558151.11005127</v>
      </c>
      <c r="C52" s="4">
        <v>26796512.592504274</v>
      </c>
      <c r="D52" s="4">
        <v>24171121.707000002</v>
      </c>
      <c r="E52" s="4">
        <f t="shared" si="37"/>
        <v>2625390.8855042718</v>
      </c>
      <c r="F52" s="4">
        <v>26796512.592504274</v>
      </c>
      <c r="G52" s="4">
        <v>23486087</v>
      </c>
      <c r="H52" s="4">
        <f t="shared" si="38"/>
        <v>3310425.5925042741</v>
      </c>
      <c r="I52" s="4">
        <f>+'202401anual'!E82</f>
        <v>26796512.592504274</v>
      </c>
      <c r="J52" s="4">
        <v>22605101.019999996</v>
      </c>
      <c r="K52" s="4">
        <f t="shared" ref="K52:K96" si="59">+I52-J52</f>
        <v>4191411.5725042783</v>
      </c>
      <c r="L52" s="4">
        <f>+'202401anual'!F82</f>
        <v>26796512.592504274</v>
      </c>
      <c r="M52" s="4">
        <v>21857785</v>
      </c>
      <c r="N52" s="4">
        <f t="shared" ref="N52:N96" si="60">+L52-M52</f>
        <v>4938727.5925042741</v>
      </c>
      <c r="O52" s="4">
        <f>+'202401anual'!H82</f>
        <v>26796512.592504274</v>
      </c>
      <c r="P52" s="4">
        <v>30762783</v>
      </c>
      <c r="Q52" s="4">
        <f t="shared" ref="Q52:Q96" si="61">+O52-P52</f>
        <v>-3966270.4074957259</v>
      </c>
      <c r="R52" s="4">
        <f>+'202401anual'!H82</f>
        <v>26796512.592504274</v>
      </c>
      <c r="S52" s="4">
        <f>40179185*0.5199</f>
        <v>20889158.281500001</v>
      </c>
      <c r="T52" s="4">
        <f t="shared" ref="T52:T96" si="62">+R52-S52</f>
        <v>5907354.3110042736</v>
      </c>
      <c r="U52" s="4">
        <f>+'202401anual'!I82</f>
        <v>26796512.592504274</v>
      </c>
      <c r="V52" s="4">
        <v>25513414</v>
      </c>
      <c r="W52" s="4">
        <f t="shared" ref="W52:W96" si="63">+U52-V52</f>
        <v>1283098.5925042741</v>
      </c>
      <c r="X52" s="4">
        <f>+'202401anual'!J82</f>
        <v>26796512.592504274</v>
      </c>
      <c r="Y52" s="4">
        <v>25613510</v>
      </c>
      <c r="Z52" s="4">
        <f t="shared" ref="Z52:Z96" si="64">+X52-Y52</f>
        <v>1183002.5925042741</v>
      </c>
      <c r="AA52" s="4">
        <f>+'202401anual'!K82</f>
        <v>26796512.592504274</v>
      </c>
      <c r="AB52" s="4">
        <v>23260246</v>
      </c>
      <c r="AC52" s="4">
        <f t="shared" ref="AC52:AC96" si="65">+AA52-AB52</f>
        <v>3536266.5925042741</v>
      </c>
      <c r="AD52" s="4">
        <f>+'202401anual'!L82</f>
        <v>26796512.592504274</v>
      </c>
      <c r="AE52" s="4">
        <v>27033776.428414691</v>
      </c>
      <c r="AF52" s="4">
        <f t="shared" si="45"/>
        <v>-237263.83591041714</v>
      </c>
      <c r="AG52" s="4">
        <f>+'202401anual'!M82</f>
        <v>26796512.592504274</v>
      </c>
      <c r="AH52" s="4">
        <v>26603268</v>
      </c>
      <c r="AI52" s="4">
        <f t="shared" si="46"/>
        <v>193244.5925042741</v>
      </c>
      <c r="AJ52" s="4"/>
      <c r="AK52" s="4"/>
      <c r="AL52" s="4">
        <f t="shared" si="47"/>
        <v>0</v>
      </c>
      <c r="AM52" s="4">
        <f t="shared" ref="AM52:AM96" si="66">+C52+F52+I52+L52+O52+R52+U52+X52+AA52+AD52+AG52+AJ52</f>
        <v>294761638.51754695</v>
      </c>
      <c r="AN52" s="4">
        <f t="shared" ref="AN52:AN96" si="67">+D52+G52+J52+M52+P52+S52+V52+Y52+AB52+AE52+AH52+AK52</f>
        <v>271796250.43691468</v>
      </c>
      <c r="AO52" s="4">
        <f t="shared" ref="AO52:AO86" si="68">+AM52-AN52</f>
        <v>22965388.080632269</v>
      </c>
      <c r="AP52" s="43">
        <f t="shared" ref="AP52:AP96" si="69">+AO52/AM52*100</f>
        <v>7.7911726220999258</v>
      </c>
      <c r="AQ52" s="34">
        <f t="shared" si="15"/>
        <v>5.5879354476928711E-8</v>
      </c>
      <c r="AR52" s="38"/>
      <c r="AS52" s="2"/>
      <c r="AV52" s="2"/>
    </row>
    <row r="53" spans="1:52" x14ac:dyDescent="0.25">
      <c r="A53" s="5" t="s">
        <v>71</v>
      </c>
      <c r="B53" s="4">
        <f>12900000-5000000</f>
        <v>7900000</v>
      </c>
      <c r="C53" s="4">
        <v>1075000</v>
      </c>
      <c r="D53" s="4">
        <v>0</v>
      </c>
      <c r="E53" s="4">
        <f t="shared" si="37"/>
        <v>1075000</v>
      </c>
      <c r="F53" s="4">
        <v>1075000</v>
      </c>
      <c r="G53" s="4">
        <v>0</v>
      </c>
      <c r="H53" s="4">
        <f t="shared" si="38"/>
        <v>1075000</v>
      </c>
      <c r="I53" s="4">
        <f>+'202401anual'!E86</f>
        <v>1075000</v>
      </c>
      <c r="J53" s="4">
        <v>0</v>
      </c>
      <c r="K53" s="4">
        <f t="shared" si="59"/>
        <v>1075000</v>
      </c>
      <c r="L53" s="4">
        <f>+'202401anual'!F86</f>
        <v>1075000</v>
      </c>
      <c r="M53" s="4"/>
      <c r="N53" s="4">
        <f t="shared" si="60"/>
        <v>1075000</v>
      </c>
      <c r="O53" s="4">
        <f>+'202401anual'!G86</f>
        <v>1075000</v>
      </c>
      <c r="P53" s="4"/>
      <c r="Q53" s="4">
        <f t="shared" si="61"/>
        <v>1075000</v>
      </c>
      <c r="R53" s="4">
        <f>+'202401anual'!H86</f>
        <v>1075000</v>
      </c>
      <c r="S53" s="4">
        <v>500000</v>
      </c>
      <c r="T53" s="4">
        <f t="shared" si="62"/>
        <v>575000</v>
      </c>
      <c r="U53" s="4">
        <f>+'202401anual'!I86</f>
        <v>1075000</v>
      </c>
      <c r="V53" s="4">
        <v>250000</v>
      </c>
      <c r="W53" s="4">
        <f t="shared" si="63"/>
        <v>825000</v>
      </c>
      <c r="X53" s="4">
        <f>+'202401anual'!J86</f>
        <v>1075000</v>
      </c>
      <c r="Y53" s="4">
        <v>250000</v>
      </c>
      <c r="Z53" s="4">
        <f t="shared" si="64"/>
        <v>825000</v>
      </c>
      <c r="AA53" s="4">
        <f>+'202401anual'!K86</f>
        <v>1075000</v>
      </c>
      <c r="AB53" s="4">
        <v>10372058</v>
      </c>
      <c r="AC53" s="4">
        <f t="shared" si="65"/>
        <v>-9297058</v>
      </c>
      <c r="AD53" s="4">
        <f>+'202401anual'!L86</f>
        <v>1075000</v>
      </c>
      <c r="AE53" s="4">
        <v>250000</v>
      </c>
      <c r="AF53" s="4">
        <f t="shared" si="45"/>
        <v>825000</v>
      </c>
      <c r="AG53" s="4">
        <f>+'202401anual'!M86</f>
        <v>1075000</v>
      </c>
      <c r="AH53" s="4">
        <f>+[18]EjecucionPptalPasiva!$Q$119</f>
        <v>250000</v>
      </c>
      <c r="AI53" s="4">
        <f t="shared" si="46"/>
        <v>825000</v>
      </c>
      <c r="AJ53" s="4"/>
      <c r="AK53" s="4"/>
      <c r="AL53" s="4">
        <f t="shared" si="47"/>
        <v>0</v>
      </c>
      <c r="AM53" s="4">
        <f t="shared" si="66"/>
        <v>11825000</v>
      </c>
      <c r="AN53" s="4">
        <f t="shared" si="67"/>
        <v>11872058</v>
      </c>
      <c r="AO53" s="4">
        <f t="shared" si="68"/>
        <v>-47058</v>
      </c>
      <c r="AP53" s="43">
        <f t="shared" si="69"/>
        <v>-0.39795348837209304</v>
      </c>
      <c r="AQ53" s="34">
        <f t="shared" si="15"/>
        <v>0</v>
      </c>
      <c r="AR53" s="38"/>
      <c r="AS53" s="2"/>
      <c r="AV53" s="2"/>
    </row>
    <row r="54" spans="1:52" x14ac:dyDescent="0.25">
      <c r="A54" s="5" t="s">
        <v>19</v>
      </c>
      <c r="B54" s="4">
        <f>143580000</f>
        <v>143580000</v>
      </c>
      <c r="C54" s="4">
        <v>11965000</v>
      </c>
      <c r="D54" s="4">
        <v>12181960</v>
      </c>
      <c r="E54" s="4">
        <f t="shared" si="37"/>
        <v>-216960</v>
      </c>
      <c r="F54" s="4">
        <v>11965000</v>
      </c>
      <c r="G54" s="4">
        <v>10881960</v>
      </c>
      <c r="H54" s="4">
        <f t="shared" si="38"/>
        <v>1083040</v>
      </c>
      <c r="I54" s="4">
        <f>+'202401anual'!E88</f>
        <v>11965000</v>
      </c>
      <c r="J54" s="4">
        <v>10881960</v>
      </c>
      <c r="K54" s="4">
        <f t="shared" si="59"/>
        <v>1083040</v>
      </c>
      <c r="L54" s="4">
        <f>+'202401anual'!F88</f>
        <v>11965000</v>
      </c>
      <c r="M54" s="4">
        <v>11181960</v>
      </c>
      <c r="N54" s="4">
        <f t="shared" si="60"/>
        <v>783040</v>
      </c>
      <c r="O54" s="4">
        <f>+'202401anual'!G88</f>
        <v>11965000</v>
      </c>
      <c r="P54" s="4">
        <v>11681960</v>
      </c>
      <c r="Q54" s="4">
        <f t="shared" si="61"/>
        <v>283040</v>
      </c>
      <c r="R54" s="4">
        <f>+'202401anual'!H88</f>
        <v>11965000</v>
      </c>
      <c r="S54" s="4">
        <v>11950960</v>
      </c>
      <c r="T54" s="4">
        <f t="shared" si="62"/>
        <v>14040</v>
      </c>
      <c r="U54" s="4">
        <f>+'202401anual'!I88</f>
        <v>11965000</v>
      </c>
      <c r="V54" s="4">
        <v>10881960</v>
      </c>
      <c r="W54" s="4">
        <f t="shared" si="63"/>
        <v>1083040</v>
      </c>
      <c r="X54" s="4">
        <f>+'202401anual'!J88</f>
        <v>11965000</v>
      </c>
      <c r="Y54" s="4">
        <v>12241960</v>
      </c>
      <c r="Z54" s="4">
        <f t="shared" si="64"/>
        <v>-276960</v>
      </c>
      <c r="AA54" s="4">
        <f>+'202401anual'!K88</f>
        <v>11965000</v>
      </c>
      <c r="AB54" s="4">
        <v>10881960</v>
      </c>
      <c r="AC54" s="4">
        <f t="shared" si="65"/>
        <v>1083040</v>
      </c>
      <c r="AD54" s="4">
        <f>+'202401anual'!L88</f>
        <v>11965000</v>
      </c>
      <c r="AE54" s="4">
        <v>15226960</v>
      </c>
      <c r="AF54" s="4">
        <f t="shared" si="45"/>
        <v>-3261960</v>
      </c>
      <c r="AG54" s="4">
        <f>+'202401anual'!M88</f>
        <v>11965000</v>
      </c>
      <c r="AH54" s="4">
        <f>+[18]EjecucionPptalPasiva!$Q$123</f>
        <v>14751960</v>
      </c>
      <c r="AI54" s="4">
        <f t="shared" si="46"/>
        <v>-2786960</v>
      </c>
      <c r="AJ54" s="4"/>
      <c r="AK54" s="4"/>
      <c r="AL54" s="4">
        <f t="shared" si="47"/>
        <v>0</v>
      </c>
      <c r="AM54" s="4">
        <f t="shared" si="66"/>
        <v>131615000</v>
      </c>
      <c r="AN54" s="4">
        <f t="shared" si="67"/>
        <v>132745560</v>
      </c>
      <c r="AO54" s="4">
        <f t="shared" si="68"/>
        <v>-1130560</v>
      </c>
      <c r="AP54" s="43">
        <f t="shared" si="69"/>
        <v>-0.85899023667515095</v>
      </c>
      <c r="AQ54" s="34">
        <f t="shared" si="15"/>
        <v>0</v>
      </c>
      <c r="AR54" s="38"/>
      <c r="AS54" s="2"/>
    </row>
    <row r="55" spans="1:52" x14ac:dyDescent="0.25">
      <c r="A55" s="76" t="s">
        <v>89</v>
      </c>
      <c r="B55" s="4">
        <f>+'202401anual'!B89</f>
        <v>4500000</v>
      </c>
      <c r="C55" s="4">
        <v>0</v>
      </c>
      <c r="D55" s="4">
        <v>0</v>
      </c>
      <c r="E55" s="4">
        <f t="shared" si="37"/>
        <v>0</v>
      </c>
      <c r="F55" s="4">
        <v>0</v>
      </c>
      <c r="G55" s="4">
        <v>0</v>
      </c>
      <c r="H55" s="4">
        <f t="shared" si="38"/>
        <v>0</v>
      </c>
      <c r="I55" s="4">
        <f>+'202401anual'!E89</f>
        <v>0</v>
      </c>
      <c r="J55" s="4">
        <v>0</v>
      </c>
      <c r="K55" s="4">
        <f t="shared" si="59"/>
        <v>0</v>
      </c>
      <c r="L55" s="4">
        <v>3500000</v>
      </c>
      <c r="M55" s="4">
        <f>8044340+2860000</f>
        <v>10904340</v>
      </c>
      <c r="N55" s="4">
        <f t="shared" si="60"/>
        <v>-7404340</v>
      </c>
      <c r="O55" s="4">
        <f>+'202401anual'!G89</f>
        <v>3500000</v>
      </c>
      <c r="P55" s="4">
        <v>10098350</v>
      </c>
      <c r="Q55" s="4">
        <f t="shared" si="61"/>
        <v>-6598350</v>
      </c>
      <c r="R55" s="4">
        <f>+'202401anual'!H89</f>
        <v>3500000</v>
      </c>
      <c r="S55" s="4">
        <v>4108500</v>
      </c>
      <c r="T55" s="4">
        <f t="shared" si="62"/>
        <v>-608500</v>
      </c>
      <c r="U55" s="4">
        <f>+'202401anual'!I89</f>
        <v>6500000</v>
      </c>
      <c r="V55" s="4"/>
      <c r="W55" s="4">
        <f t="shared" si="63"/>
        <v>6500000</v>
      </c>
      <c r="X55" s="4">
        <f>+'202401anual'!J89</f>
        <v>7237295</v>
      </c>
      <c r="Y55" s="4"/>
      <c r="Z55" s="4">
        <f t="shared" si="64"/>
        <v>7237295</v>
      </c>
      <c r="AA55" s="4">
        <v>0</v>
      </c>
      <c r="AB55" s="4">
        <v>4010150</v>
      </c>
      <c r="AC55" s="4">
        <f t="shared" si="65"/>
        <v>-4010150</v>
      </c>
      <c r="AD55" s="4">
        <f>+'202401anual'!L89</f>
        <v>11000000</v>
      </c>
      <c r="AE55" s="4">
        <f>2397600+10282000</f>
        <v>12679600</v>
      </c>
      <c r="AF55" s="4">
        <f t="shared" si="45"/>
        <v>-1679600</v>
      </c>
      <c r="AG55" s="4">
        <f>+'202401anual'!M89</f>
        <v>6000000</v>
      </c>
      <c r="AH55" s="4">
        <f>+[18]EjecucionPptalPasiva!$Q$85</f>
        <v>6370418</v>
      </c>
      <c r="AI55" s="4">
        <f t="shared" si="46"/>
        <v>-370418</v>
      </c>
      <c r="AJ55" s="4"/>
      <c r="AK55" s="4"/>
      <c r="AL55" s="4">
        <f t="shared" si="47"/>
        <v>0</v>
      </c>
      <c r="AM55" s="4">
        <f t="shared" si="66"/>
        <v>41237295</v>
      </c>
      <c r="AN55" s="4">
        <f t="shared" si="67"/>
        <v>48171358</v>
      </c>
      <c r="AO55" s="4">
        <f t="shared" si="68"/>
        <v>-6934063</v>
      </c>
      <c r="AP55" s="43">
        <f t="shared" si="69"/>
        <v>-16.81502872581725</v>
      </c>
      <c r="AQ55" s="34">
        <f t="shared" si="15"/>
        <v>0</v>
      </c>
      <c r="AR55" s="38"/>
      <c r="AS55" s="2"/>
    </row>
    <row r="56" spans="1:52" x14ac:dyDescent="0.25">
      <c r="A56" s="21" t="s">
        <v>72</v>
      </c>
      <c r="B56" s="4">
        <f>+'202401anual'!B90</f>
        <v>61980000</v>
      </c>
      <c r="C56" s="4">
        <v>5465000</v>
      </c>
      <c r="D56" s="4">
        <v>2526395</v>
      </c>
      <c r="E56" s="4">
        <f t="shared" si="37"/>
        <v>2938605</v>
      </c>
      <c r="F56" s="4">
        <v>5465000</v>
      </c>
      <c r="G56" s="4">
        <v>2353389</v>
      </c>
      <c r="H56" s="4">
        <f t="shared" si="38"/>
        <v>3111611</v>
      </c>
      <c r="I56" s="4">
        <f>+'202401anual'!E90</f>
        <v>1865000</v>
      </c>
      <c r="J56" s="4">
        <v>2717394</v>
      </c>
      <c r="K56" s="4">
        <f t="shared" si="59"/>
        <v>-852394</v>
      </c>
      <c r="L56" s="4">
        <f>+'202401anual'!F90</f>
        <v>5465000</v>
      </c>
      <c r="M56" s="4">
        <v>2844872</v>
      </c>
      <c r="N56" s="4">
        <f t="shared" si="60"/>
        <v>2620128</v>
      </c>
      <c r="O56" s="4">
        <f>+'202401anual'!G90</f>
        <v>5165000</v>
      </c>
      <c r="P56" s="4">
        <v>3524138</v>
      </c>
      <c r="Q56" s="4">
        <f t="shared" si="61"/>
        <v>1640862</v>
      </c>
      <c r="R56" s="4">
        <f>+'202401anual'!H90</f>
        <v>5165000</v>
      </c>
      <c r="S56" s="4">
        <v>3757287</v>
      </c>
      <c r="T56" s="4">
        <f t="shared" si="62"/>
        <v>1407713</v>
      </c>
      <c r="U56" s="4">
        <f>+'202401anual'!I90</f>
        <v>5165000</v>
      </c>
      <c r="V56" s="4">
        <v>2526005</v>
      </c>
      <c r="W56" s="4">
        <f t="shared" si="63"/>
        <v>2638995</v>
      </c>
      <c r="X56" s="4">
        <f>+'202401anual'!J90</f>
        <v>5165000</v>
      </c>
      <c r="Y56" s="4">
        <v>4014206</v>
      </c>
      <c r="Z56" s="4">
        <f t="shared" si="64"/>
        <v>1150794</v>
      </c>
      <c r="AA56" s="4">
        <f>+'202401anual'!K90</f>
        <v>5165000</v>
      </c>
      <c r="AB56" s="4">
        <v>3033270</v>
      </c>
      <c r="AC56" s="4">
        <f t="shared" si="65"/>
        <v>2131730</v>
      </c>
      <c r="AD56" s="4">
        <f>+'202401anual'!L90</f>
        <v>5165000</v>
      </c>
      <c r="AE56" s="4">
        <f>2782144</f>
        <v>2782144</v>
      </c>
      <c r="AF56" s="4">
        <f t="shared" si="45"/>
        <v>2382856</v>
      </c>
      <c r="AG56" s="4">
        <f>+'202401anual'!M90</f>
        <v>5165000</v>
      </c>
      <c r="AH56" s="4">
        <f>+[18]EjecucionPptalPasiva!$Q$124</f>
        <v>3895743</v>
      </c>
      <c r="AI56" s="4">
        <f t="shared" si="46"/>
        <v>1269257</v>
      </c>
      <c r="AJ56" s="4"/>
      <c r="AK56" s="4"/>
      <c r="AL56" s="4">
        <f t="shared" si="47"/>
        <v>0</v>
      </c>
      <c r="AM56" s="4">
        <f t="shared" si="66"/>
        <v>54415000</v>
      </c>
      <c r="AN56" s="4">
        <f t="shared" si="67"/>
        <v>33974843</v>
      </c>
      <c r="AO56" s="4">
        <f t="shared" si="68"/>
        <v>20440157</v>
      </c>
      <c r="AP56" s="43">
        <f t="shared" si="69"/>
        <v>37.563460442892584</v>
      </c>
      <c r="AQ56" s="34">
        <f t="shared" si="15"/>
        <v>0</v>
      </c>
      <c r="AR56" s="38"/>
      <c r="AS56" s="2"/>
    </row>
    <row r="57" spans="1:52" ht="36.75" x14ac:dyDescent="0.25">
      <c r="A57" s="121" t="s">
        <v>65</v>
      </c>
      <c r="B57" s="4">
        <v>121000000</v>
      </c>
      <c r="C57" s="4">
        <v>0</v>
      </c>
      <c r="D57" s="4">
        <v>0</v>
      </c>
      <c r="E57" s="4">
        <f t="shared" si="37"/>
        <v>0</v>
      </c>
      <c r="F57" s="4">
        <v>0</v>
      </c>
      <c r="G57" s="4">
        <v>1840000</v>
      </c>
      <c r="H57" s="4">
        <f t="shared" si="38"/>
        <v>-1840000</v>
      </c>
      <c r="I57" s="4">
        <f>+'202401anual'!E91-30412393</f>
        <v>13837607</v>
      </c>
      <c r="J57" s="4">
        <v>0</v>
      </c>
      <c r="K57" s="4">
        <f t="shared" si="59"/>
        <v>13837607</v>
      </c>
      <c r="L57" s="4">
        <f>28000000+16250000</f>
        <v>44250000</v>
      </c>
      <c r="M57" s="4"/>
      <c r="N57" s="4">
        <f t="shared" si="60"/>
        <v>44250000</v>
      </c>
      <c r="O57" s="4">
        <f>+'202401anual'!G91</f>
        <v>0</v>
      </c>
      <c r="P57" s="4">
        <v>0</v>
      </c>
      <c r="Q57" s="4">
        <f t="shared" si="61"/>
        <v>0</v>
      </c>
      <c r="R57" s="4">
        <f>+'202401anual'!H91</f>
        <v>16250000</v>
      </c>
      <c r="S57" s="4">
        <f>5409460+10046140</f>
        <v>15455600</v>
      </c>
      <c r="T57" s="4">
        <f t="shared" si="62"/>
        <v>794400</v>
      </c>
      <c r="U57" s="4">
        <v>0</v>
      </c>
      <c r="V57" s="4">
        <v>0</v>
      </c>
      <c r="W57" s="4">
        <f t="shared" si="63"/>
        <v>0</v>
      </c>
      <c r="X57" s="4">
        <f>+'202401anual'!J91</f>
        <v>28000000</v>
      </c>
      <c r="Y57" s="4">
        <v>32159759</v>
      </c>
      <c r="Z57" s="4">
        <f t="shared" si="64"/>
        <v>-4159759</v>
      </c>
      <c r="AA57" s="4">
        <v>0</v>
      </c>
      <c r="AB57" s="4">
        <v>11982407</v>
      </c>
      <c r="AC57" s="4">
        <f t="shared" si="65"/>
        <v>-11982407</v>
      </c>
      <c r="AD57" s="4">
        <v>0</v>
      </c>
      <c r="AE57" s="4">
        <v>9944462</v>
      </c>
      <c r="AF57" s="4">
        <f t="shared" si="45"/>
        <v>-9944462</v>
      </c>
      <c r="AG57" s="4">
        <f>+'202401anual'!M91</f>
        <v>0</v>
      </c>
      <c r="AH57" s="4">
        <f>+[18]EjecucionPptalPasiva!$Q$101+[18]EjecucionPptalPasiva!$Q$294</f>
        <v>4478585</v>
      </c>
      <c r="AI57" s="4">
        <f t="shared" si="46"/>
        <v>-4478585</v>
      </c>
      <c r="AJ57" s="4"/>
      <c r="AK57" s="4"/>
      <c r="AL57" s="4">
        <f t="shared" si="47"/>
        <v>0</v>
      </c>
      <c r="AM57" s="4">
        <f t="shared" si="66"/>
        <v>102337607</v>
      </c>
      <c r="AN57" s="4">
        <f t="shared" si="67"/>
        <v>75860813</v>
      </c>
      <c r="AO57" s="4">
        <f t="shared" si="68"/>
        <v>26476794</v>
      </c>
      <c r="AP57" s="43">
        <f t="shared" si="69"/>
        <v>25.872008126983076</v>
      </c>
      <c r="AQ57" s="34">
        <f t="shared" si="15"/>
        <v>0</v>
      </c>
      <c r="AR57" s="38"/>
      <c r="AS57" s="106"/>
    </row>
    <row r="58" spans="1:52" x14ac:dyDescent="0.25">
      <c r="A58" s="21" t="s">
        <v>181</v>
      </c>
      <c r="B58" s="4">
        <f>+'202401anual'!B94</f>
        <v>31285000</v>
      </c>
      <c r="C58" s="4">
        <v>0</v>
      </c>
      <c r="D58" s="4">
        <v>0</v>
      </c>
      <c r="E58" s="4">
        <f t="shared" si="37"/>
        <v>0</v>
      </c>
      <c r="F58" s="4">
        <v>0</v>
      </c>
      <c r="G58" s="4">
        <v>0</v>
      </c>
      <c r="H58" s="4">
        <f t="shared" si="38"/>
        <v>0</v>
      </c>
      <c r="I58" s="4">
        <f>+'202401anual'!E94</f>
        <v>11993500</v>
      </c>
      <c r="J58" s="4">
        <v>0</v>
      </c>
      <c r="K58" s="4">
        <f t="shared" si="59"/>
        <v>11993500</v>
      </c>
      <c r="L58" s="4">
        <f>3000000+857000</f>
        <v>3857000</v>
      </c>
      <c r="M58" s="4">
        <v>160000</v>
      </c>
      <c r="N58" s="4">
        <f t="shared" si="60"/>
        <v>3697000</v>
      </c>
      <c r="O58" s="4">
        <f>+'202401anual'!G94</f>
        <v>3428500</v>
      </c>
      <c r="P58" s="4">
        <v>1579500</v>
      </c>
      <c r="Q58" s="4">
        <f t="shared" si="61"/>
        <v>1849000</v>
      </c>
      <c r="R58" s="4">
        <f>+'202401anual'!H131</f>
        <v>1091500</v>
      </c>
      <c r="S58" s="4">
        <v>1836000</v>
      </c>
      <c r="T58" s="4">
        <f t="shared" si="62"/>
        <v>-744500</v>
      </c>
      <c r="U58" s="4">
        <f>+'202401anual'!I94</f>
        <v>3428500</v>
      </c>
      <c r="V58" s="4"/>
      <c r="W58" s="4">
        <f t="shared" si="63"/>
        <v>3428500</v>
      </c>
      <c r="X58" s="4">
        <f>+'202401anual'!J94</f>
        <v>3428500</v>
      </c>
      <c r="Y58" s="4">
        <v>6574800</v>
      </c>
      <c r="Z58" s="4">
        <f t="shared" si="64"/>
        <v>-3146300</v>
      </c>
      <c r="AA58" s="4">
        <f>+'202401anual'!K94</f>
        <v>428500</v>
      </c>
      <c r="AB58" s="4">
        <v>2187100</v>
      </c>
      <c r="AC58" s="4">
        <f t="shared" si="65"/>
        <v>-1758600</v>
      </c>
      <c r="AD58" s="4">
        <f>+'202401anual'!L94</f>
        <v>3428500</v>
      </c>
      <c r="AE58" s="4">
        <v>4942900</v>
      </c>
      <c r="AF58" s="4">
        <f t="shared" si="45"/>
        <v>-1514400</v>
      </c>
      <c r="AG58" s="4">
        <f>+'202401anual'!M94</f>
        <v>428500</v>
      </c>
      <c r="AH58" s="4"/>
      <c r="AI58" s="4">
        <f t="shared" si="46"/>
        <v>428500</v>
      </c>
      <c r="AJ58" s="4"/>
      <c r="AK58" s="4"/>
      <c r="AL58" s="4">
        <f t="shared" si="47"/>
        <v>0</v>
      </c>
      <c r="AM58" s="4">
        <f t="shared" si="66"/>
        <v>31513000</v>
      </c>
      <c r="AN58" s="4">
        <f t="shared" si="67"/>
        <v>17280300</v>
      </c>
      <c r="AO58" s="4">
        <f t="shared" si="68"/>
        <v>14232700</v>
      </c>
      <c r="AP58" s="43">
        <f t="shared" si="69"/>
        <v>45.164535271157938</v>
      </c>
      <c r="AQ58" s="34">
        <f t="shared" si="15"/>
        <v>0</v>
      </c>
      <c r="AR58" s="38"/>
      <c r="AS58" s="2"/>
    </row>
    <row r="59" spans="1:52" x14ac:dyDescent="0.25">
      <c r="A59" s="21" t="s">
        <v>85</v>
      </c>
      <c r="B59" s="4">
        <v>8000000</v>
      </c>
      <c r="C59" s="4">
        <v>666666.66666666663</v>
      </c>
      <c r="D59" s="4">
        <v>296683</v>
      </c>
      <c r="E59" s="4">
        <f t="shared" si="37"/>
        <v>369983.66666666663</v>
      </c>
      <c r="F59" s="4">
        <v>666666.66666666663</v>
      </c>
      <c r="G59" s="4">
        <v>264087</v>
      </c>
      <c r="H59" s="4">
        <f t="shared" si="38"/>
        <v>402579.66666666663</v>
      </c>
      <c r="I59" s="4">
        <f>+'202401anual'!E95</f>
        <v>666666.66666666663</v>
      </c>
      <c r="J59" s="4">
        <v>0</v>
      </c>
      <c r="K59" s="4">
        <f t="shared" si="59"/>
        <v>666666.66666666663</v>
      </c>
      <c r="L59" s="4">
        <f>+'202401anual'!F95</f>
        <v>666666.66666666663</v>
      </c>
      <c r="M59" s="4">
        <v>425312</v>
      </c>
      <c r="N59" s="4">
        <f t="shared" si="60"/>
        <v>241354.66666666663</v>
      </c>
      <c r="O59" s="4">
        <f>+'202401anual'!G95</f>
        <v>666666.66666666663</v>
      </c>
      <c r="P59" s="4">
        <v>240257</v>
      </c>
      <c r="Q59" s="4">
        <f t="shared" si="61"/>
        <v>426409.66666666663</v>
      </c>
      <c r="R59" s="4">
        <f>+'202401anual'!H95</f>
        <v>666666.66666666663</v>
      </c>
      <c r="S59" s="4"/>
      <c r="T59" s="4">
        <f t="shared" si="62"/>
        <v>666666.66666666663</v>
      </c>
      <c r="U59" s="4">
        <f>+'202401anual'!I95</f>
        <v>666666.66666666663</v>
      </c>
      <c r="V59" s="4">
        <v>489565</v>
      </c>
      <c r="W59" s="4">
        <f t="shared" si="63"/>
        <v>177101.66666666663</v>
      </c>
      <c r="X59" s="4">
        <f>+'202401anual'!J95</f>
        <v>666666.66666666663</v>
      </c>
      <c r="Y59" s="4">
        <v>977355</v>
      </c>
      <c r="Z59" s="4">
        <f t="shared" si="64"/>
        <v>-310688.33333333337</v>
      </c>
      <c r="AA59" s="4">
        <f>+'202401anual'!K95</f>
        <v>666666.66666666663</v>
      </c>
      <c r="AB59" s="4">
        <v>1018035</v>
      </c>
      <c r="AC59" s="4">
        <f t="shared" si="65"/>
        <v>-351368.33333333337</v>
      </c>
      <c r="AD59" s="4">
        <f>+'202401anual'!L95</f>
        <v>666666.66666666663</v>
      </c>
      <c r="AE59" s="4">
        <v>499400</v>
      </c>
      <c r="AF59" s="4">
        <f t="shared" si="45"/>
        <v>167266.66666666663</v>
      </c>
      <c r="AG59" s="4">
        <f>+'202401anual'!M95</f>
        <v>666666.66666666663</v>
      </c>
      <c r="AH59" s="4">
        <f>+[18]EjecucionPptalPasiva!$Q$120</f>
        <v>833137</v>
      </c>
      <c r="AI59" s="4">
        <f t="shared" si="46"/>
        <v>-166470.33333333337</v>
      </c>
      <c r="AJ59" s="4"/>
      <c r="AK59" s="4"/>
      <c r="AL59" s="4">
        <f t="shared" si="47"/>
        <v>0</v>
      </c>
      <c r="AM59" s="4">
        <f t="shared" si="66"/>
        <v>7333333.333333334</v>
      </c>
      <c r="AN59" s="4">
        <f t="shared" si="67"/>
        <v>5043831</v>
      </c>
      <c r="AO59" s="4">
        <f t="shared" si="68"/>
        <v>2289502.333333334</v>
      </c>
      <c r="AP59" s="43">
        <f t="shared" si="69"/>
        <v>31.220486363636368</v>
      </c>
      <c r="AQ59" s="34">
        <f t="shared" si="15"/>
        <v>-1.7462298274040222E-9</v>
      </c>
      <c r="AR59" s="38"/>
      <c r="AS59" s="2"/>
    </row>
    <row r="60" spans="1:52" x14ac:dyDescent="0.25">
      <c r="A60" s="21" t="s">
        <v>23</v>
      </c>
      <c r="B60" s="4">
        <v>117000000</v>
      </c>
      <c r="C60" s="4">
        <v>0</v>
      </c>
      <c r="D60" s="4">
        <v>0</v>
      </c>
      <c r="E60" s="4">
        <f t="shared" si="37"/>
        <v>0</v>
      </c>
      <c r="F60" s="4">
        <v>13000000</v>
      </c>
      <c r="G60" s="4">
        <v>0</v>
      </c>
      <c r="H60" s="4">
        <f t="shared" si="38"/>
        <v>13000000</v>
      </c>
      <c r="I60" s="4">
        <f>+'202401anual'!E96</f>
        <v>0</v>
      </c>
      <c r="J60" s="4">
        <v>0</v>
      </c>
      <c r="K60" s="4">
        <f t="shared" si="59"/>
        <v>0</v>
      </c>
      <c r="L60" s="4">
        <v>26000000</v>
      </c>
      <c r="M60" s="4">
        <f>2368000+10504800</f>
        <v>12872800</v>
      </c>
      <c r="N60" s="4">
        <f t="shared" si="60"/>
        <v>13127200</v>
      </c>
      <c r="O60" s="4">
        <v>0</v>
      </c>
      <c r="P60" s="4">
        <f>126000+243000+383200</f>
        <v>752200</v>
      </c>
      <c r="Q60" s="4">
        <f t="shared" si="61"/>
        <v>-752200</v>
      </c>
      <c r="R60" s="4">
        <f>+'202401anual'!H96</f>
        <v>13000000</v>
      </c>
      <c r="S60" s="4">
        <f>463600+25708000+704200</f>
        <v>26875800</v>
      </c>
      <c r="T60" s="4">
        <f t="shared" si="62"/>
        <v>-13875800</v>
      </c>
      <c r="U60" s="4">
        <f>+'202401anual'!I96</f>
        <v>13000000</v>
      </c>
      <c r="V60" s="4"/>
      <c r="W60" s="4">
        <f t="shared" si="63"/>
        <v>13000000</v>
      </c>
      <c r="X60" s="4">
        <f>+'202401anual'!J96</f>
        <v>13000000</v>
      </c>
      <c r="Y60" s="4">
        <v>1556100</v>
      </c>
      <c r="Z60" s="4">
        <f t="shared" si="64"/>
        <v>11443900</v>
      </c>
      <c r="AA60" s="4">
        <f>+'202401anual'!K96-13000000</f>
        <v>0</v>
      </c>
      <c r="AB60" s="4"/>
      <c r="AC60" s="4">
        <f t="shared" si="65"/>
        <v>0</v>
      </c>
      <c r="AD60" s="4">
        <f>+'202401anual'!L96</f>
        <v>13000000</v>
      </c>
      <c r="AE60" s="4">
        <f>2641200+1374900+3844500</f>
        <v>7860600</v>
      </c>
      <c r="AF60" s="4">
        <f t="shared" si="45"/>
        <v>5139400</v>
      </c>
      <c r="AG60" s="4">
        <f>+'202401anual'!M96</f>
        <v>13000000</v>
      </c>
      <c r="AH60" s="4">
        <f>+[18]EjecucionPptalPasiva!$Q$126+[18]EjecucionPptalPasiva!$Q$321</f>
        <v>24886700</v>
      </c>
      <c r="AI60" s="4">
        <f t="shared" si="46"/>
        <v>-11886700</v>
      </c>
      <c r="AJ60" s="4"/>
      <c r="AK60" s="4"/>
      <c r="AL60" s="4">
        <f t="shared" si="47"/>
        <v>0</v>
      </c>
      <c r="AM60" s="4">
        <f t="shared" si="66"/>
        <v>104000000</v>
      </c>
      <c r="AN60" s="4">
        <f t="shared" si="67"/>
        <v>74804200</v>
      </c>
      <c r="AO60" s="4">
        <f t="shared" si="68"/>
        <v>29195800</v>
      </c>
      <c r="AP60" s="43">
        <f t="shared" si="69"/>
        <v>28.072884615384613</v>
      </c>
      <c r="AQ60" s="34">
        <f t="shared" si="15"/>
        <v>0</v>
      </c>
      <c r="AR60" s="38"/>
      <c r="AS60" s="106">
        <v>48470417.152504273</v>
      </c>
    </row>
    <row r="61" spans="1:52" ht="30" customHeight="1" x14ac:dyDescent="0.25">
      <c r="A61" s="77" t="s">
        <v>180</v>
      </c>
      <c r="B61" s="4">
        <v>0</v>
      </c>
      <c r="C61" s="4">
        <v>0</v>
      </c>
      <c r="D61" s="4">
        <v>0</v>
      </c>
      <c r="E61" s="4">
        <f t="shared" si="37"/>
        <v>0</v>
      </c>
      <c r="F61" s="4">
        <v>0</v>
      </c>
      <c r="G61" s="4">
        <v>0</v>
      </c>
      <c r="H61" s="4">
        <f t="shared" si="38"/>
        <v>0</v>
      </c>
      <c r="I61" s="4">
        <f>+'202401anual'!E97</f>
        <v>0</v>
      </c>
      <c r="J61" s="4">
        <v>0</v>
      </c>
      <c r="K61" s="4">
        <f t="shared" si="59"/>
        <v>0</v>
      </c>
      <c r="L61" s="4">
        <f>+'202401anual'!F97</f>
        <v>0</v>
      </c>
      <c r="M61" s="4"/>
      <c r="N61" s="4">
        <f t="shared" si="60"/>
        <v>0</v>
      </c>
      <c r="O61" s="4">
        <f>+'202401anual'!G97</f>
        <v>6000000</v>
      </c>
      <c r="P61" s="4"/>
      <c r="Q61" s="4">
        <f t="shared" si="61"/>
        <v>6000000</v>
      </c>
      <c r="R61" s="4">
        <v>0</v>
      </c>
      <c r="S61" s="4">
        <v>213000</v>
      </c>
      <c r="T61" s="4">
        <f t="shared" si="62"/>
        <v>-213000</v>
      </c>
      <c r="U61" s="4">
        <f>+'202401anual'!I97</f>
        <v>6000000</v>
      </c>
      <c r="V61" s="4">
        <v>0</v>
      </c>
      <c r="W61" s="4">
        <f t="shared" si="63"/>
        <v>6000000</v>
      </c>
      <c r="X61" s="4">
        <f>+'202401anual'!J99</f>
        <v>0</v>
      </c>
      <c r="Y61" s="4"/>
      <c r="Z61" s="4">
        <f t="shared" si="64"/>
        <v>0</v>
      </c>
      <c r="AA61" s="4"/>
      <c r="AB61" s="4"/>
      <c r="AC61" s="4">
        <f t="shared" si="65"/>
        <v>0</v>
      </c>
      <c r="AD61" s="4">
        <v>0</v>
      </c>
      <c r="AE61" s="4"/>
      <c r="AF61" s="4">
        <f t="shared" si="45"/>
        <v>0</v>
      </c>
      <c r="AG61" s="4">
        <f>+'202401anual'!M97</f>
        <v>0</v>
      </c>
      <c r="AH61" s="4">
        <v>0</v>
      </c>
      <c r="AI61" s="4">
        <f t="shared" si="46"/>
        <v>0</v>
      </c>
      <c r="AJ61" s="4"/>
      <c r="AK61" s="4"/>
      <c r="AL61" s="4">
        <f t="shared" si="47"/>
        <v>0</v>
      </c>
      <c r="AM61" s="4">
        <f t="shared" si="66"/>
        <v>12000000</v>
      </c>
      <c r="AN61" s="4">
        <f t="shared" si="67"/>
        <v>213000</v>
      </c>
      <c r="AO61" s="4">
        <f t="shared" si="68"/>
        <v>11787000</v>
      </c>
      <c r="AP61" s="43">
        <f t="shared" si="69"/>
        <v>98.224999999999994</v>
      </c>
      <c r="AQ61" s="34">
        <f t="shared" si="15"/>
        <v>0</v>
      </c>
      <c r="AR61" s="38"/>
      <c r="AS61" s="2">
        <f>+AG37/AS60*100</f>
        <v>44.715737625708044</v>
      </c>
    </row>
    <row r="62" spans="1:52" x14ac:dyDescent="0.25">
      <c r="A62" s="21" t="s">
        <v>37</v>
      </c>
      <c r="B62" s="4">
        <v>82018600</v>
      </c>
      <c r="C62" s="4">
        <v>6463000</v>
      </c>
      <c r="D62" s="4">
        <v>4622208</v>
      </c>
      <c r="E62" s="4">
        <f t="shared" si="37"/>
        <v>1840792</v>
      </c>
      <c r="F62" s="4">
        <v>6463000</v>
      </c>
      <c r="G62" s="4">
        <v>4622208</v>
      </c>
      <c r="H62" s="4">
        <f t="shared" si="38"/>
        <v>1840792</v>
      </c>
      <c r="I62" s="4">
        <f>+'202401anual'!E98</f>
        <v>6463000</v>
      </c>
      <c r="J62" s="4">
        <v>4622208</v>
      </c>
      <c r="K62" s="4">
        <f t="shared" si="59"/>
        <v>1840792</v>
      </c>
      <c r="L62" s="4">
        <f>+'202401anual'!F98</f>
        <v>6463000</v>
      </c>
      <c r="M62" s="4">
        <f>4622208*2</f>
        <v>9244416</v>
      </c>
      <c r="N62" s="4">
        <f t="shared" si="60"/>
        <v>-2781416</v>
      </c>
      <c r="O62" s="4">
        <f>+'202401anual'!G98</f>
        <v>10925600</v>
      </c>
      <c r="P62" s="4">
        <f>4622208+1360000</f>
        <v>5982208</v>
      </c>
      <c r="Q62" s="4">
        <f t="shared" si="61"/>
        <v>4943392</v>
      </c>
      <c r="R62" s="4">
        <f>+'202401anual'!H98</f>
        <v>6463000</v>
      </c>
      <c r="S62" s="4">
        <v>2500000</v>
      </c>
      <c r="T62" s="4">
        <f t="shared" si="62"/>
        <v>3963000</v>
      </c>
      <c r="U62" s="4">
        <f>+'202401anual'!I98</f>
        <v>6463000</v>
      </c>
      <c r="V62" s="4">
        <f>9244166+2550000</f>
        <v>11794166</v>
      </c>
      <c r="W62" s="4">
        <f t="shared" si="63"/>
        <v>-5331166</v>
      </c>
      <c r="X62" s="4">
        <f>+'202401anual'!J98</f>
        <v>6463000</v>
      </c>
      <c r="Y62" s="4">
        <v>2550000</v>
      </c>
      <c r="Z62" s="4">
        <f t="shared" si="64"/>
        <v>3913000</v>
      </c>
      <c r="AA62" s="4">
        <f>+'202401anual'!K98</f>
        <v>6463000</v>
      </c>
      <c r="AB62" s="4">
        <v>7172083</v>
      </c>
      <c r="AC62" s="4">
        <f t="shared" si="65"/>
        <v>-709083</v>
      </c>
      <c r="AD62" s="4">
        <f>+'202401anual'!L98</f>
        <v>6463000</v>
      </c>
      <c r="AE62" s="4">
        <f>4622083+2550000+4622083</f>
        <v>11794166</v>
      </c>
      <c r="AF62" s="4">
        <f t="shared" si="45"/>
        <v>-5331166</v>
      </c>
      <c r="AG62" s="4">
        <f>+'202401anual'!M98</f>
        <v>6463000</v>
      </c>
      <c r="AH62" s="4">
        <f>4622083+2550000</f>
        <v>7172083</v>
      </c>
      <c r="AI62" s="4">
        <f t="shared" si="46"/>
        <v>-709083</v>
      </c>
      <c r="AJ62" s="4"/>
      <c r="AK62" s="4"/>
      <c r="AL62" s="4">
        <f t="shared" si="47"/>
        <v>0</v>
      </c>
      <c r="AM62" s="4">
        <f t="shared" si="66"/>
        <v>75555600</v>
      </c>
      <c r="AN62" s="4">
        <f t="shared" si="67"/>
        <v>72075746</v>
      </c>
      <c r="AO62" s="4">
        <f t="shared" si="68"/>
        <v>3479854</v>
      </c>
      <c r="AP62" s="43">
        <f t="shared" si="69"/>
        <v>4.6056864084197597</v>
      </c>
      <c r="AQ62" s="34">
        <f t="shared" si="15"/>
        <v>0</v>
      </c>
      <c r="AR62" s="38"/>
      <c r="AS62" s="2"/>
    </row>
    <row r="63" spans="1:52" x14ac:dyDescent="0.25">
      <c r="A63" s="21" t="s">
        <v>25</v>
      </c>
      <c r="B63" s="4">
        <v>45000000</v>
      </c>
      <c r="C63" s="4">
        <v>3789200</v>
      </c>
      <c r="D63" s="4">
        <v>3789200</v>
      </c>
      <c r="E63" s="4">
        <f t="shared" si="37"/>
        <v>0</v>
      </c>
      <c r="F63" s="4">
        <v>3789200</v>
      </c>
      <c r="G63" s="4">
        <v>3789200</v>
      </c>
      <c r="H63" s="4">
        <f t="shared" si="38"/>
        <v>0</v>
      </c>
      <c r="I63" s="4">
        <f>+'202401anual'!E100</f>
        <v>3789200</v>
      </c>
      <c r="J63" s="4">
        <v>3410280</v>
      </c>
      <c r="K63" s="4">
        <f t="shared" si="59"/>
        <v>378920</v>
      </c>
      <c r="L63" s="4">
        <f>+'202401anual'!F100</f>
        <v>4623000</v>
      </c>
      <c r="M63" s="4">
        <v>3789200</v>
      </c>
      <c r="N63" s="4">
        <f t="shared" si="60"/>
        <v>833800</v>
      </c>
      <c r="O63" s="4">
        <f>+'202401anual'!G100</f>
        <v>8789200</v>
      </c>
      <c r="P63" s="4">
        <v>3789200</v>
      </c>
      <c r="Q63" s="4">
        <f t="shared" si="61"/>
        <v>5000000</v>
      </c>
      <c r="R63" s="4">
        <f>+'202401anual'!H100</f>
        <v>3789200</v>
      </c>
      <c r="S63" s="4">
        <v>3879200</v>
      </c>
      <c r="T63" s="4">
        <f t="shared" si="62"/>
        <v>-90000</v>
      </c>
      <c r="U63" s="4">
        <f>+'202401anual'!I100</f>
        <v>4623000</v>
      </c>
      <c r="V63" s="4">
        <v>3789200</v>
      </c>
      <c r="W63" s="4">
        <f t="shared" si="63"/>
        <v>833800</v>
      </c>
      <c r="X63" s="4">
        <f>+'202401anual'!J100</f>
        <v>3789200</v>
      </c>
      <c r="Y63" s="4">
        <v>3789200</v>
      </c>
      <c r="Z63" s="4">
        <f t="shared" si="64"/>
        <v>0</v>
      </c>
      <c r="AA63" s="4">
        <f>+'202401anual'!K100</f>
        <v>4623000</v>
      </c>
      <c r="AB63" s="4">
        <v>3789200</v>
      </c>
      <c r="AC63" s="4">
        <f t="shared" si="65"/>
        <v>833800</v>
      </c>
      <c r="AD63" s="4">
        <f>+'202401anual'!L100</f>
        <v>3789200</v>
      </c>
      <c r="AE63" s="4">
        <v>3789200</v>
      </c>
      <c r="AF63" s="4">
        <f t="shared" si="45"/>
        <v>0</v>
      </c>
      <c r="AG63" s="4">
        <f>+'202401anual'!M100</f>
        <v>3789200</v>
      </c>
      <c r="AH63" s="4">
        <v>3789200</v>
      </c>
      <c r="AI63" s="4">
        <f t="shared" si="46"/>
        <v>0</v>
      </c>
      <c r="AJ63" s="4"/>
      <c r="AK63" s="4"/>
      <c r="AL63" s="4">
        <f t="shared" si="47"/>
        <v>0</v>
      </c>
      <c r="AM63" s="4">
        <f t="shared" si="66"/>
        <v>49182600</v>
      </c>
      <c r="AN63" s="4">
        <f t="shared" si="67"/>
        <v>41392280</v>
      </c>
      <c r="AO63" s="4">
        <f t="shared" si="68"/>
        <v>7790320</v>
      </c>
      <c r="AP63" s="43">
        <f t="shared" si="69"/>
        <v>15.839585544481178</v>
      </c>
      <c r="AQ63" s="34">
        <f t="shared" si="15"/>
        <v>0</v>
      </c>
      <c r="AR63" s="38"/>
      <c r="AS63" s="2"/>
    </row>
    <row r="64" spans="1:52" x14ac:dyDescent="0.25">
      <c r="A64" s="21" t="s">
        <v>60</v>
      </c>
      <c r="B64" s="4">
        <v>45470400</v>
      </c>
      <c r="C64" s="4">
        <v>3789200</v>
      </c>
      <c r="D64" s="4">
        <f>7199200-3789200</f>
        <v>3410000</v>
      </c>
      <c r="E64" s="4">
        <f t="shared" si="37"/>
        <v>379200</v>
      </c>
      <c r="F64" s="4">
        <v>3789200</v>
      </c>
      <c r="G64" s="4">
        <v>0</v>
      </c>
      <c r="H64" s="4">
        <f t="shared" si="38"/>
        <v>3789200</v>
      </c>
      <c r="I64" s="4">
        <f>+'202401anual'!E102</f>
        <v>3789200</v>
      </c>
      <c r="J64" s="4">
        <v>3789200</v>
      </c>
      <c r="K64" s="4">
        <f t="shared" si="59"/>
        <v>0</v>
      </c>
      <c r="L64" s="4">
        <f>+'202401anual'!F102</f>
        <v>3789200</v>
      </c>
      <c r="M64" s="4">
        <v>3789200</v>
      </c>
      <c r="N64" s="4">
        <f t="shared" si="60"/>
        <v>0</v>
      </c>
      <c r="O64" s="4">
        <f>+'202401anual'!G102</f>
        <v>3789200</v>
      </c>
      <c r="P64" s="4">
        <v>3729800</v>
      </c>
      <c r="Q64" s="4">
        <f t="shared" si="61"/>
        <v>59400</v>
      </c>
      <c r="R64" s="4">
        <f>+'202401anual'!H102</f>
        <v>3789200</v>
      </c>
      <c r="S64" s="4">
        <v>3879200</v>
      </c>
      <c r="T64" s="4">
        <f t="shared" si="62"/>
        <v>-90000</v>
      </c>
      <c r="U64" s="4">
        <f>+'202401anual'!I102</f>
        <v>3789200</v>
      </c>
      <c r="V64" s="4">
        <v>3789200</v>
      </c>
      <c r="W64" s="4">
        <f t="shared" si="63"/>
        <v>0</v>
      </c>
      <c r="X64" s="4">
        <f>+'202401anual'!J102</f>
        <v>3789200</v>
      </c>
      <c r="Y64" s="4">
        <v>3789200</v>
      </c>
      <c r="Z64" s="4">
        <f t="shared" si="64"/>
        <v>0</v>
      </c>
      <c r="AA64" s="4">
        <f>+'202401anual'!K102</f>
        <v>3789200</v>
      </c>
      <c r="AB64" s="4">
        <v>3789200</v>
      </c>
      <c r="AC64" s="4">
        <f t="shared" si="65"/>
        <v>0</v>
      </c>
      <c r="AD64" s="4">
        <f>+'202401anual'!L102</f>
        <v>3789200</v>
      </c>
      <c r="AE64" s="4">
        <v>3789200</v>
      </c>
      <c r="AF64" s="4">
        <f t="shared" si="45"/>
        <v>0</v>
      </c>
      <c r="AG64" s="4">
        <f>+'202401anual'!M102</f>
        <v>3789200</v>
      </c>
      <c r="AH64" s="4">
        <v>3789200</v>
      </c>
      <c r="AI64" s="4">
        <f t="shared" si="46"/>
        <v>0</v>
      </c>
      <c r="AJ64" s="4"/>
      <c r="AK64" s="4"/>
      <c r="AL64" s="4">
        <f t="shared" si="47"/>
        <v>0</v>
      </c>
      <c r="AM64" s="4">
        <f t="shared" si="66"/>
        <v>41681200</v>
      </c>
      <c r="AN64" s="4">
        <f t="shared" si="67"/>
        <v>37543400</v>
      </c>
      <c r="AO64" s="4">
        <f t="shared" si="68"/>
        <v>4137800</v>
      </c>
      <c r="AP64" s="43">
        <f t="shared" si="69"/>
        <v>9.9272573726284268</v>
      </c>
      <c r="AQ64" s="34">
        <f t="shared" si="15"/>
        <v>0</v>
      </c>
      <c r="AR64" s="38"/>
      <c r="AS64" s="2"/>
    </row>
    <row r="65" spans="1:45" x14ac:dyDescent="0.25">
      <c r="A65" s="21" t="s">
        <v>73</v>
      </c>
      <c r="B65" s="4">
        <v>6000000</v>
      </c>
      <c r="C65" s="4">
        <v>500000</v>
      </c>
      <c r="D65" s="4">
        <v>0</v>
      </c>
      <c r="E65" s="4">
        <f t="shared" si="37"/>
        <v>500000</v>
      </c>
      <c r="F65" s="4">
        <v>500000</v>
      </c>
      <c r="G65" s="4">
        <v>0</v>
      </c>
      <c r="H65" s="4">
        <f t="shared" si="38"/>
        <v>500000</v>
      </c>
      <c r="I65" s="4">
        <f>+'202401anual'!E105</f>
        <v>500000</v>
      </c>
      <c r="J65" s="4">
        <v>0</v>
      </c>
      <c r="K65" s="4">
        <f t="shared" si="59"/>
        <v>500000</v>
      </c>
      <c r="L65" s="4">
        <f>+'202401anual'!F105</f>
        <v>500000</v>
      </c>
      <c r="M65" s="4">
        <v>0</v>
      </c>
      <c r="N65" s="4">
        <f t="shared" si="60"/>
        <v>500000</v>
      </c>
      <c r="O65" s="4">
        <f>+'202401anual'!G105</f>
        <v>0</v>
      </c>
      <c r="P65" s="4">
        <v>0</v>
      </c>
      <c r="Q65" s="4">
        <f t="shared" si="61"/>
        <v>0</v>
      </c>
      <c r="R65" s="4">
        <f>+'202401anual'!H105</f>
        <v>500000</v>
      </c>
      <c r="S65" s="4"/>
      <c r="T65" s="4">
        <f t="shared" si="62"/>
        <v>500000</v>
      </c>
      <c r="U65" s="4">
        <f>+'202401anual'!I105</f>
        <v>500000</v>
      </c>
      <c r="V65" s="4">
        <v>0</v>
      </c>
      <c r="W65" s="4">
        <f t="shared" si="63"/>
        <v>500000</v>
      </c>
      <c r="X65" s="4">
        <f>+'202401anual'!J105</f>
        <v>500000</v>
      </c>
      <c r="Y65" s="4"/>
      <c r="Z65" s="4">
        <f t="shared" si="64"/>
        <v>500000</v>
      </c>
      <c r="AA65" s="4">
        <f>+'202401anual'!K105-500000</f>
        <v>0</v>
      </c>
      <c r="AB65" s="4"/>
      <c r="AC65" s="4">
        <f t="shared" si="65"/>
        <v>0</v>
      </c>
      <c r="AD65" s="4">
        <f>+'202401anual'!L105</f>
        <v>500000</v>
      </c>
      <c r="AE65" s="4">
        <v>0</v>
      </c>
      <c r="AF65" s="4">
        <f t="shared" si="45"/>
        <v>500000</v>
      </c>
      <c r="AG65" s="4">
        <f>+'202401anual'!M105</f>
        <v>500000</v>
      </c>
      <c r="AH65" s="4">
        <f>+[18]EjecucionPptalPasiva!$Q$129</f>
        <v>615000</v>
      </c>
      <c r="AI65" s="4">
        <f t="shared" si="46"/>
        <v>-115000</v>
      </c>
      <c r="AJ65" s="4"/>
      <c r="AK65" s="4"/>
      <c r="AL65" s="4">
        <f t="shared" si="47"/>
        <v>0</v>
      </c>
      <c r="AM65" s="4">
        <f t="shared" si="66"/>
        <v>4500000</v>
      </c>
      <c r="AN65" s="4">
        <f t="shared" si="67"/>
        <v>615000</v>
      </c>
      <c r="AO65" s="4">
        <f t="shared" si="68"/>
        <v>3885000</v>
      </c>
      <c r="AP65" s="43">
        <f t="shared" si="69"/>
        <v>86.333333333333329</v>
      </c>
      <c r="AQ65" s="34">
        <f t="shared" si="15"/>
        <v>0</v>
      </c>
      <c r="AR65" s="38"/>
      <c r="AS65" s="2"/>
    </row>
    <row r="66" spans="1:45" x14ac:dyDescent="0.25">
      <c r="A66" s="21" t="s">
        <v>27</v>
      </c>
      <c r="B66" s="4">
        <v>3270000</v>
      </c>
      <c r="C66" s="4">
        <v>1090000</v>
      </c>
      <c r="D66" s="4">
        <v>0</v>
      </c>
      <c r="E66" s="4">
        <f t="shared" si="37"/>
        <v>1090000</v>
      </c>
      <c r="F66" s="4">
        <v>0</v>
      </c>
      <c r="G66" s="4">
        <v>2030900</v>
      </c>
      <c r="H66" s="4">
        <f t="shared" si="38"/>
        <v>-2030900</v>
      </c>
      <c r="I66" s="4">
        <f>+'202401anual'!E106</f>
        <v>0</v>
      </c>
      <c r="J66" s="4">
        <v>0</v>
      </c>
      <c r="K66" s="4">
        <f t="shared" si="59"/>
        <v>0</v>
      </c>
      <c r="L66" s="4">
        <f>+'202401anual'!F106</f>
        <v>0</v>
      </c>
      <c r="M66" s="4">
        <v>1210000</v>
      </c>
      <c r="N66" s="4">
        <f t="shared" si="60"/>
        <v>-1210000</v>
      </c>
      <c r="O66" s="4">
        <f>+'202401anual'!G106</f>
        <v>500000</v>
      </c>
      <c r="P66" s="4">
        <v>0</v>
      </c>
      <c r="Q66" s="4">
        <f t="shared" si="61"/>
        <v>500000</v>
      </c>
      <c r="R66" s="4">
        <f>+'202401anual'!H106</f>
        <v>1090000</v>
      </c>
      <c r="S66" s="4"/>
      <c r="T66" s="4">
        <f t="shared" si="62"/>
        <v>1090000</v>
      </c>
      <c r="U66" s="4">
        <v>0</v>
      </c>
      <c r="V66" s="4">
        <v>0</v>
      </c>
      <c r="W66" s="4">
        <f t="shared" si="63"/>
        <v>0</v>
      </c>
      <c r="X66" s="4">
        <f>+'202401anual'!J106</f>
        <v>0</v>
      </c>
      <c r="Y66" s="4"/>
      <c r="Z66" s="4">
        <f t="shared" si="64"/>
        <v>0</v>
      </c>
      <c r="AA66" s="4"/>
      <c r="AB66" s="4"/>
      <c r="AC66" s="4">
        <f t="shared" si="65"/>
        <v>0</v>
      </c>
      <c r="AD66" s="4">
        <f>+'202401anual'!L106</f>
        <v>1090000</v>
      </c>
      <c r="AE66" s="4">
        <v>0</v>
      </c>
      <c r="AF66" s="4">
        <f t="shared" si="45"/>
        <v>1090000</v>
      </c>
      <c r="AG66" s="4">
        <f>+'202401anual'!M106</f>
        <v>0</v>
      </c>
      <c r="AH66" s="4"/>
      <c r="AI66" s="4">
        <f t="shared" si="46"/>
        <v>0</v>
      </c>
      <c r="AJ66" s="4"/>
      <c r="AK66" s="4"/>
      <c r="AL66" s="4">
        <f t="shared" si="47"/>
        <v>0</v>
      </c>
      <c r="AM66" s="4">
        <f t="shared" si="66"/>
        <v>3770000</v>
      </c>
      <c r="AN66" s="4">
        <f t="shared" si="67"/>
        <v>3240900</v>
      </c>
      <c r="AO66" s="4">
        <f t="shared" si="68"/>
        <v>529100</v>
      </c>
      <c r="AP66" s="43">
        <f t="shared" si="69"/>
        <v>14.034482758620689</v>
      </c>
      <c r="AQ66" s="34">
        <f t="shared" si="15"/>
        <v>0</v>
      </c>
      <c r="AR66" s="38"/>
      <c r="AS66" s="2"/>
    </row>
    <row r="67" spans="1:45" x14ac:dyDescent="0.25">
      <c r="A67" s="21" t="s">
        <v>74</v>
      </c>
      <c r="B67" s="4">
        <f>+'202401anual'!B107</f>
        <v>27000000</v>
      </c>
      <c r="C67" s="4">
        <v>0</v>
      </c>
      <c r="D67" s="4">
        <v>0</v>
      </c>
      <c r="E67" s="4">
        <f t="shared" si="37"/>
        <v>0</v>
      </c>
      <c r="F67" s="4">
        <v>0</v>
      </c>
      <c r="G67" s="4">
        <v>0</v>
      </c>
      <c r="H67" s="4">
        <f t="shared" si="38"/>
        <v>0</v>
      </c>
      <c r="I67" s="4">
        <f>+'202401anual'!E107</f>
        <v>0</v>
      </c>
      <c r="J67" s="4">
        <v>0</v>
      </c>
      <c r="K67" s="4">
        <f t="shared" si="59"/>
        <v>0</v>
      </c>
      <c r="L67" s="4">
        <f>+'202401anual'!F107</f>
        <v>0</v>
      </c>
      <c r="M67" s="4"/>
      <c r="N67" s="4">
        <f t="shared" si="60"/>
        <v>0</v>
      </c>
      <c r="O67" s="4">
        <f>+'202401anual'!G107</f>
        <v>0</v>
      </c>
      <c r="P67" s="4">
        <v>0</v>
      </c>
      <c r="Q67" s="4">
        <f t="shared" si="61"/>
        <v>0</v>
      </c>
      <c r="R67" s="4">
        <v>0</v>
      </c>
      <c r="S67" s="4"/>
      <c r="T67" s="4">
        <f t="shared" si="62"/>
        <v>0</v>
      </c>
      <c r="U67" s="4">
        <v>0</v>
      </c>
      <c r="V67" s="4">
        <v>0</v>
      </c>
      <c r="W67" s="4">
        <f t="shared" si="63"/>
        <v>0</v>
      </c>
      <c r="X67" s="4">
        <f>+'202401anual'!J107</f>
        <v>3500000</v>
      </c>
      <c r="Y67" s="4"/>
      <c r="Z67" s="4">
        <f t="shared" si="64"/>
        <v>3500000</v>
      </c>
      <c r="AA67" s="4">
        <f>+'202401anual'!K107-3500000</f>
        <v>0</v>
      </c>
      <c r="AB67" s="4"/>
      <c r="AC67" s="4">
        <f t="shared" si="65"/>
        <v>0</v>
      </c>
      <c r="AD67" s="4">
        <f>+'202401anual'!L107</f>
        <v>3500000</v>
      </c>
      <c r="AE67" s="4">
        <v>0</v>
      </c>
      <c r="AF67" s="4">
        <f t="shared" si="45"/>
        <v>3500000</v>
      </c>
      <c r="AG67" s="4">
        <v>0</v>
      </c>
      <c r="AH67" s="4"/>
      <c r="AI67" s="4">
        <f t="shared" si="46"/>
        <v>0</v>
      </c>
      <c r="AJ67" s="4"/>
      <c r="AK67" s="4"/>
      <c r="AL67" s="4">
        <f t="shared" si="47"/>
        <v>0</v>
      </c>
      <c r="AM67" s="4">
        <f t="shared" si="66"/>
        <v>7000000</v>
      </c>
      <c r="AN67" s="4">
        <f t="shared" si="67"/>
        <v>0</v>
      </c>
      <c r="AO67" s="4">
        <f t="shared" si="68"/>
        <v>7000000</v>
      </c>
      <c r="AP67" s="43">
        <f t="shared" si="69"/>
        <v>100</v>
      </c>
      <c r="AQ67" s="34">
        <f t="shared" si="15"/>
        <v>0</v>
      </c>
      <c r="AR67" s="38"/>
      <c r="AS67" s="2"/>
    </row>
    <row r="68" spans="1:45" x14ac:dyDescent="0.25">
      <c r="A68" s="21" t="s">
        <v>28</v>
      </c>
      <c r="B68" s="4">
        <v>10064000</v>
      </c>
      <c r="C68" s="4">
        <v>0</v>
      </c>
      <c r="D68" s="4">
        <v>0</v>
      </c>
      <c r="E68" s="4">
        <f t="shared" si="37"/>
        <v>0</v>
      </c>
      <c r="F68" s="4">
        <v>0</v>
      </c>
      <c r="G68" s="4">
        <v>0</v>
      </c>
      <c r="H68" s="4">
        <f t="shared" si="38"/>
        <v>0</v>
      </c>
      <c r="I68" s="4">
        <f>+'202401anual'!E108</f>
        <v>0</v>
      </c>
      <c r="J68" s="4">
        <v>0</v>
      </c>
      <c r="K68" s="4">
        <f t="shared" si="59"/>
        <v>0</v>
      </c>
      <c r="L68" s="4">
        <f>+'202401anual'!F108</f>
        <v>0</v>
      </c>
      <c r="M68" s="4"/>
      <c r="N68" s="4">
        <f t="shared" si="60"/>
        <v>0</v>
      </c>
      <c r="O68" s="4">
        <f>+'202401anual'!G108</f>
        <v>0</v>
      </c>
      <c r="P68" s="4">
        <v>0</v>
      </c>
      <c r="Q68" s="4">
        <f t="shared" si="61"/>
        <v>0</v>
      </c>
      <c r="R68" s="4">
        <v>0</v>
      </c>
      <c r="S68" s="4"/>
      <c r="T68" s="4">
        <f t="shared" si="62"/>
        <v>0</v>
      </c>
      <c r="U68" s="4">
        <v>0</v>
      </c>
      <c r="V68" s="4">
        <v>0</v>
      </c>
      <c r="W68" s="4">
        <f t="shared" si="63"/>
        <v>0</v>
      </c>
      <c r="X68" s="4">
        <f>+'202401anual'!J108</f>
        <v>0</v>
      </c>
      <c r="Y68" s="4"/>
      <c r="Z68" s="4">
        <f t="shared" si="64"/>
        <v>0</v>
      </c>
      <c r="AA68" s="4">
        <f>+'202401anual'!K108</f>
        <v>0</v>
      </c>
      <c r="AB68" s="4"/>
      <c r="AC68" s="4">
        <f t="shared" si="65"/>
        <v>0</v>
      </c>
      <c r="AD68" s="4">
        <f>+'202401anual'!L108</f>
        <v>10064000</v>
      </c>
      <c r="AE68" s="4">
        <v>0</v>
      </c>
      <c r="AF68" s="4">
        <f t="shared" si="45"/>
        <v>10064000</v>
      </c>
      <c r="AG68" s="4">
        <f>+'202401anual'!M108</f>
        <v>0</v>
      </c>
      <c r="AH68" s="4"/>
      <c r="AI68" s="4">
        <f t="shared" si="46"/>
        <v>0</v>
      </c>
      <c r="AJ68" s="4"/>
      <c r="AK68" s="4"/>
      <c r="AL68" s="4">
        <f t="shared" si="47"/>
        <v>0</v>
      </c>
      <c r="AM68" s="4">
        <f t="shared" si="66"/>
        <v>10064000</v>
      </c>
      <c r="AN68" s="4">
        <f t="shared" si="67"/>
        <v>0</v>
      </c>
      <c r="AO68" s="4">
        <f t="shared" si="68"/>
        <v>10064000</v>
      </c>
      <c r="AP68" s="43">
        <f t="shared" si="69"/>
        <v>100</v>
      </c>
      <c r="AQ68" s="34">
        <f t="shared" si="15"/>
        <v>0</v>
      </c>
      <c r="AR68" s="38"/>
      <c r="AS68" s="2"/>
    </row>
    <row r="69" spans="1:45" ht="15" customHeight="1" x14ac:dyDescent="0.25">
      <c r="A69" s="21" t="s">
        <v>182</v>
      </c>
      <c r="B69" s="4">
        <v>36000000</v>
      </c>
      <c r="C69" s="4">
        <v>0</v>
      </c>
      <c r="D69" s="4">
        <v>0</v>
      </c>
      <c r="E69" s="4">
        <f t="shared" si="37"/>
        <v>0</v>
      </c>
      <c r="F69" s="4">
        <v>0</v>
      </c>
      <c r="G69" s="4">
        <v>6141300</v>
      </c>
      <c r="H69" s="4">
        <f t="shared" si="38"/>
        <v>-6141300</v>
      </c>
      <c r="I69" s="4">
        <f>+'202401anual'!E110</f>
        <v>3500000</v>
      </c>
      <c r="J69" s="4">
        <v>4250000</v>
      </c>
      <c r="K69" s="4">
        <f t="shared" si="59"/>
        <v>-750000</v>
      </c>
      <c r="L69" s="4">
        <v>5500000</v>
      </c>
      <c r="M69" s="4">
        <v>4805000</v>
      </c>
      <c r="N69" s="4">
        <f t="shared" si="60"/>
        <v>695000</v>
      </c>
      <c r="O69" s="4">
        <f>+'202401anual'!G110</f>
        <v>5500000</v>
      </c>
      <c r="P69" s="4">
        <v>720000</v>
      </c>
      <c r="Q69" s="4">
        <f t="shared" si="61"/>
        <v>4780000</v>
      </c>
      <c r="R69" s="4">
        <f>+'202401anual'!H99</f>
        <v>0</v>
      </c>
      <c r="S69" s="4">
        <v>1320000</v>
      </c>
      <c r="T69" s="4">
        <f t="shared" si="62"/>
        <v>-1320000</v>
      </c>
      <c r="U69" s="4">
        <f>+'202401anual'!I110</f>
        <v>4000000</v>
      </c>
      <c r="V69" s="4">
        <f>1263232+5900000</f>
        <v>7163232</v>
      </c>
      <c r="W69" s="4">
        <f t="shared" si="63"/>
        <v>-3163232</v>
      </c>
      <c r="X69" s="4">
        <f>+'202401anual'!J110</f>
        <v>0</v>
      </c>
      <c r="Y69" s="4">
        <v>300000</v>
      </c>
      <c r="Z69" s="4">
        <f t="shared" si="64"/>
        <v>-300000</v>
      </c>
      <c r="AA69" s="4">
        <f>+'202401anual'!K110+'202401anual'!K132</f>
        <v>2600000</v>
      </c>
      <c r="AB69" s="4">
        <v>3730000</v>
      </c>
      <c r="AC69" s="4">
        <f t="shared" si="65"/>
        <v>-1130000</v>
      </c>
      <c r="AD69" s="4">
        <v>0</v>
      </c>
      <c r="AE69" s="4">
        <v>0</v>
      </c>
      <c r="AF69" s="4">
        <f t="shared" si="45"/>
        <v>0</v>
      </c>
      <c r="AG69" s="4">
        <f>+'202401anual'!M110</f>
        <v>3500000</v>
      </c>
      <c r="AH69" s="4">
        <f>+[18]EjecucionPptalPasiva!$Q$117</f>
        <v>520000</v>
      </c>
      <c r="AI69" s="4">
        <f t="shared" si="46"/>
        <v>2980000</v>
      </c>
      <c r="AJ69" s="4">
        <f>+'202401anual'!N108</f>
        <v>0</v>
      </c>
      <c r="AK69" s="4"/>
      <c r="AL69" s="4">
        <f t="shared" si="47"/>
        <v>0</v>
      </c>
      <c r="AM69" s="4">
        <f t="shared" si="66"/>
        <v>24600000</v>
      </c>
      <c r="AN69" s="4">
        <f t="shared" si="67"/>
        <v>28949532</v>
      </c>
      <c r="AO69" s="4">
        <f t="shared" si="68"/>
        <v>-4349532</v>
      </c>
      <c r="AP69" s="43">
        <f t="shared" si="69"/>
        <v>-17.681024390243902</v>
      </c>
      <c r="AQ69" s="34">
        <f t="shared" si="15"/>
        <v>0</v>
      </c>
      <c r="AR69" s="38"/>
      <c r="AS69" s="2"/>
    </row>
    <row r="70" spans="1:45" ht="15" customHeight="1" x14ac:dyDescent="0.25">
      <c r="A70" s="21" t="s">
        <v>149</v>
      </c>
      <c r="B70" s="4">
        <v>22036000</v>
      </c>
      <c r="C70" s="4">
        <v>0</v>
      </c>
      <c r="D70" s="4"/>
      <c r="E70" s="4">
        <f t="shared" si="37"/>
        <v>0</v>
      </c>
      <c r="F70" s="4">
        <v>0</v>
      </c>
      <c r="G70" s="4">
        <v>0</v>
      </c>
      <c r="H70" s="4">
        <f t="shared" si="38"/>
        <v>0</v>
      </c>
      <c r="I70" s="4">
        <f>+'202401anual'!E111</f>
        <v>0</v>
      </c>
      <c r="J70" s="4">
        <v>0</v>
      </c>
      <c r="K70" s="4">
        <f t="shared" si="59"/>
        <v>0</v>
      </c>
      <c r="L70" s="4">
        <v>0</v>
      </c>
      <c r="M70" s="4"/>
      <c r="N70" s="4">
        <f t="shared" si="60"/>
        <v>0</v>
      </c>
      <c r="O70" s="4">
        <f>+'202401anual'!G111</f>
        <v>1150000</v>
      </c>
      <c r="P70" s="4">
        <v>0</v>
      </c>
      <c r="Q70" s="4">
        <f t="shared" si="61"/>
        <v>1150000</v>
      </c>
      <c r="R70" s="4">
        <v>0</v>
      </c>
      <c r="S70" s="4"/>
      <c r="T70" s="4">
        <f t="shared" si="62"/>
        <v>0</v>
      </c>
      <c r="U70" s="4">
        <v>0</v>
      </c>
      <c r="V70" s="4">
        <v>699800</v>
      </c>
      <c r="W70" s="4">
        <f t="shared" si="63"/>
        <v>-699800</v>
      </c>
      <c r="X70" s="4">
        <f>+'202401anual'!J111</f>
        <v>1150000</v>
      </c>
      <c r="Y70" s="4">
        <v>0</v>
      </c>
      <c r="Z70" s="4">
        <f t="shared" si="64"/>
        <v>1150000</v>
      </c>
      <c r="AA70" s="4">
        <f>+'202401anual'!K109</f>
        <v>0</v>
      </c>
      <c r="AB70" s="4"/>
      <c r="AC70" s="4">
        <f t="shared" si="65"/>
        <v>0</v>
      </c>
      <c r="AD70" s="4">
        <v>0</v>
      </c>
      <c r="AE70" s="4">
        <v>0</v>
      </c>
      <c r="AF70" s="4">
        <f t="shared" si="45"/>
        <v>0</v>
      </c>
      <c r="AG70" s="4">
        <v>9293000</v>
      </c>
      <c r="AH70" s="4"/>
      <c r="AI70" s="4">
        <f t="shared" si="46"/>
        <v>9293000</v>
      </c>
      <c r="AJ70" s="4">
        <f>+'202401anual'!N109</f>
        <v>0</v>
      </c>
      <c r="AK70" s="4"/>
      <c r="AL70" s="4">
        <f t="shared" si="47"/>
        <v>0</v>
      </c>
      <c r="AM70" s="4">
        <f t="shared" si="66"/>
        <v>11593000</v>
      </c>
      <c r="AN70" s="4">
        <f t="shared" si="67"/>
        <v>699800</v>
      </c>
      <c r="AO70" s="4">
        <f t="shared" si="68"/>
        <v>10893200</v>
      </c>
      <c r="AP70" s="43">
        <f t="shared" si="69"/>
        <v>93.963598723367554</v>
      </c>
      <c r="AQ70" s="34">
        <f t="shared" si="15"/>
        <v>0</v>
      </c>
      <c r="AR70" s="38"/>
      <c r="AS70" s="2"/>
    </row>
    <row r="71" spans="1:45" x14ac:dyDescent="0.25">
      <c r="A71" s="21" t="s">
        <v>198</v>
      </c>
      <c r="B71" s="4">
        <f>+'202401anual'!B112</f>
        <v>23264000</v>
      </c>
      <c r="C71" s="4">
        <v>0</v>
      </c>
      <c r="D71" s="4">
        <v>0</v>
      </c>
      <c r="E71" s="4">
        <f t="shared" si="37"/>
        <v>0</v>
      </c>
      <c r="F71" s="4">
        <v>2044000</v>
      </c>
      <c r="G71" s="4">
        <v>1359645.83</v>
      </c>
      <c r="H71" s="4">
        <f t="shared" si="38"/>
        <v>684354.16999999993</v>
      </c>
      <c r="I71" s="4">
        <f>+'202401anual'!E112</f>
        <v>5000000</v>
      </c>
      <c r="J71" s="4">
        <v>1040643</v>
      </c>
      <c r="K71" s="4">
        <f t="shared" si="59"/>
        <v>3959357</v>
      </c>
      <c r="L71" s="4">
        <v>6000000</v>
      </c>
      <c r="M71" s="4">
        <v>0</v>
      </c>
      <c r="N71" s="4">
        <f t="shared" si="60"/>
        <v>6000000</v>
      </c>
      <c r="O71" s="4">
        <f>+'202401anual'!G112</f>
        <v>2044000</v>
      </c>
      <c r="P71" s="4">
        <v>0</v>
      </c>
      <c r="Q71" s="4">
        <f t="shared" si="61"/>
        <v>2044000</v>
      </c>
      <c r="R71" s="4">
        <f>+'202401anual'!H112</f>
        <v>6000000</v>
      </c>
      <c r="S71" s="4">
        <v>3205563</v>
      </c>
      <c r="T71" s="4">
        <f t="shared" si="62"/>
        <v>2794437</v>
      </c>
      <c r="U71" s="4">
        <f>+'202401anual'!I112</f>
        <v>2044000</v>
      </c>
      <c r="V71" s="4">
        <f>402637+4010501.5</f>
        <v>4413138.5</v>
      </c>
      <c r="W71" s="4">
        <f t="shared" si="63"/>
        <v>-2369138.5</v>
      </c>
      <c r="X71" s="4">
        <f>+'202401anual'!J112</f>
        <v>0</v>
      </c>
      <c r="Y71" s="4">
        <v>0</v>
      </c>
      <c r="Z71" s="4">
        <f t="shared" si="64"/>
        <v>0</v>
      </c>
      <c r="AA71" s="4">
        <f>+'202401anual'!K112</f>
        <v>2044000</v>
      </c>
      <c r="AB71" s="4"/>
      <c r="AC71" s="4">
        <f t="shared" si="65"/>
        <v>2044000</v>
      </c>
      <c r="AD71" s="4">
        <f>+'202401anual'!L112</f>
        <v>5000000</v>
      </c>
      <c r="AE71" s="4">
        <f>1207910.66+2550000</f>
        <v>3757910.66</v>
      </c>
      <c r="AF71" s="4">
        <f t="shared" si="45"/>
        <v>1242089.3399999999</v>
      </c>
      <c r="AG71" s="4">
        <f>+'202401anual'!M112</f>
        <v>0</v>
      </c>
      <c r="AH71" s="4">
        <v>3024000</v>
      </c>
      <c r="AI71" s="4">
        <f t="shared" si="46"/>
        <v>-3024000</v>
      </c>
      <c r="AJ71" s="4"/>
      <c r="AK71" s="4"/>
      <c r="AL71" s="4">
        <f t="shared" si="47"/>
        <v>0</v>
      </c>
      <c r="AM71" s="4">
        <f t="shared" si="66"/>
        <v>30176000</v>
      </c>
      <c r="AN71" s="4">
        <f t="shared" si="67"/>
        <v>16800900.990000002</v>
      </c>
      <c r="AO71" s="4">
        <f t="shared" si="68"/>
        <v>13375099.009999998</v>
      </c>
      <c r="AP71" s="43">
        <f t="shared" si="69"/>
        <v>44.323631395811233</v>
      </c>
      <c r="AQ71" s="34">
        <f t="shared" ref="AQ71:AQ129" si="70">+E71+H71+K71+N71+Q71+T71+W71+Z71+AC71+AF71-AO71+AI71</f>
        <v>0</v>
      </c>
      <c r="AR71" s="38"/>
      <c r="AS71" s="2"/>
    </row>
    <row r="72" spans="1:45" ht="15" hidden="1" customHeight="1" x14ac:dyDescent="0.25">
      <c r="A72" s="21" t="s">
        <v>81</v>
      </c>
      <c r="B72" s="4">
        <v>0</v>
      </c>
      <c r="C72" s="4">
        <v>0</v>
      </c>
      <c r="D72" s="4"/>
      <c r="E72" s="4">
        <f t="shared" si="37"/>
        <v>0</v>
      </c>
      <c r="F72" s="4">
        <v>0</v>
      </c>
      <c r="G72" s="4">
        <v>0</v>
      </c>
      <c r="H72" s="4">
        <f t="shared" si="38"/>
        <v>0</v>
      </c>
      <c r="I72" s="4"/>
      <c r="J72" s="4">
        <v>0</v>
      </c>
      <c r="K72" s="4">
        <f t="shared" si="59"/>
        <v>0</v>
      </c>
      <c r="L72" s="4"/>
      <c r="M72" s="4"/>
      <c r="N72" s="4">
        <f t="shared" si="60"/>
        <v>0</v>
      </c>
      <c r="O72" s="4"/>
      <c r="P72" s="4"/>
      <c r="Q72" s="4">
        <f t="shared" si="61"/>
        <v>0</v>
      </c>
      <c r="R72" s="4">
        <v>0</v>
      </c>
      <c r="S72" s="4"/>
      <c r="T72" s="4">
        <f t="shared" si="62"/>
        <v>0</v>
      </c>
      <c r="U72" s="4"/>
      <c r="V72" s="4"/>
      <c r="W72" s="4">
        <f t="shared" si="63"/>
        <v>0</v>
      </c>
      <c r="X72" s="4"/>
      <c r="Y72" s="4"/>
      <c r="Z72" s="4">
        <f t="shared" si="64"/>
        <v>0</v>
      </c>
      <c r="AA72" s="4">
        <v>0</v>
      </c>
      <c r="AB72" s="4"/>
      <c r="AC72" s="4">
        <f t="shared" si="65"/>
        <v>0</v>
      </c>
      <c r="AD72" s="4">
        <v>0</v>
      </c>
      <c r="AE72" s="4"/>
      <c r="AF72" s="4">
        <f t="shared" si="45"/>
        <v>0</v>
      </c>
      <c r="AG72" s="4">
        <v>0</v>
      </c>
      <c r="AH72" s="4"/>
      <c r="AI72" s="4">
        <f t="shared" si="46"/>
        <v>0</v>
      </c>
      <c r="AJ72" s="4">
        <v>0</v>
      </c>
      <c r="AK72" s="4"/>
      <c r="AL72" s="4">
        <f t="shared" si="47"/>
        <v>0</v>
      </c>
      <c r="AM72" s="4">
        <f t="shared" si="66"/>
        <v>0</v>
      </c>
      <c r="AN72" s="4">
        <f t="shared" si="67"/>
        <v>0</v>
      </c>
      <c r="AO72" s="4">
        <f t="shared" si="68"/>
        <v>0</v>
      </c>
      <c r="AP72" s="43" t="e">
        <f t="shared" si="69"/>
        <v>#DIV/0!</v>
      </c>
      <c r="AQ72" s="34">
        <f t="shared" si="70"/>
        <v>0</v>
      </c>
      <c r="AR72" s="38"/>
      <c r="AS72" s="2"/>
    </row>
    <row r="73" spans="1:45" ht="15" customHeight="1" x14ac:dyDescent="0.25">
      <c r="A73" s="21" t="s">
        <v>78</v>
      </c>
      <c r="B73" s="4">
        <v>3000000</v>
      </c>
      <c r="C73" s="4">
        <v>250000</v>
      </c>
      <c r="D73" s="4">
        <v>7900</v>
      </c>
      <c r="E73" s="4">
        <f t="shared" si="37"/>
        <v>242100</v>
      </c>
      <c r="F73" s="4">
        <v>250000</v>
      </c>
      <c r="G73" s="4">
        <v>7900</v>
      </c>
      <c r="H73" s="4">
        <f t="shared" si="38"/>
        <v>242100</v>
      </c>
      <c r="I73" s="4">
        <f>+'202401anual'!E115</f>
        <v>250000</v>
      </c>
      <c r="J73" s="4">
        <v>0</v>
      </c>
      <c r="K73" s="4">
        <f t="shared" si="59"/>
        <v>250000</v>
      </c>
      <c r="L73" s="4">
        <f>+'202401anual'!F115</f>
        <v>250000</v>
      </c>
      <c r="M73" s="4">
        <v>2395970</v>
      </c>
      <c r="N73" s="4">
        <f t="shared" si="60"/>
        <v>-2145970</v>
      </c>
      <c r="O73" s="4">
        <f>+'202401anual'!G115</f>
        <v>250000</v>
      </c>
      <c r="P73" s="4">
        <v>216900</v>
      </c>
      <c r="Q73" s="4">
        <f t="shared" si="61"/>
        <v>33100</v>
      </c>
      <c r="R73" s="4">
        <f>+'202401anual'!H115</f>
        <v>250000</v>
      </c>
      <c r="S73" s="4"/>
      <c r="T73" s="4">
        <f t="shared" si="62"/>
        <v>250000</v>
      </c>
      <c r="U73" s="4">
        <f>+'202401anual'!I115</f>
        <v>250000</v>
      </c>
      <c r="V73" s="4">
        <v>49700</v>
      </c>
      <c r="W73" s="4">
        <f t="shared" si="63"/>
        <v>200300</v>
      </c>
      <c r="X73" s="4">
        <f>+'202401anual'!J115</f>
        <v>250000</v>
      </c>
      <c r="Y73" s="4">
        <v>0</v>
      </c>
      <c r="Z73" s="4">
        <f t="shared" si="64"/>
        <v>250000</v>
      </c>
      <c r="AA73" s="4">
        <v>0</v>
      </c>
      <c r="AB73" s="4"/>
      <c r="AC73" s="4">
        <f t="shared" si="65"/>
        <v>0</v>
      </c>
      <c r="AD73" s="4">
        <f>+'202401anual'!L115</f>
        <v>250000</v>
      </c>
      <c r="AE73" s="4">
        <v>0</v>
      </c>
      <c r="AF73" s="4">
        <f t="shared" si="45"/>
        <v>250000</v>
      </c>
      <c r="AG73" s="4">
        <f>+'202401anual'!M115</f>
        <v>250000</v>
      </c>
      <c r="AH73" s="4"/>
      <c r="AI73" s="4">
        <f t="shared" si="46"/>
        <v>250000</v>
      </c>
      <c r="AJ73" s="4"/>
      <c r="AK73" s="4"/>
      <c r="AL73" s="4"/>
      <c r="AM73" s="4">
        <f t="shared" si="66"/>
        <v>2500000</v>
      </c>
      <c r="AN73" s="4">
        <f t="shared" si="67"/>
        <v>2678370</v>
      </c>
      <c r="AO73" s="4">
        <f t="shared" si="68"/>
        <v>-178370</v>
      </c>
      <c r="AP73" s="43">
        <f t="shared" si="69"/>
        <v>-7.1347999999999994</v>
      </c>
      <c r="AQ73" s="34">
        <f t="shared" si="70"/>
        <v>0</v>
      </c>
      <c r="AR73" s="38"/>
      <c r="AS73" s="2"/>
    </row>
    <row r="74" spans="1:45" ht="15" customHeight="1" x14ac:dyDescent="0.25">
      <c r="A74" s="21" t="s">
        <v>147</v>
      </c>
      <c r="B74" s="4">
        <f>+'202401anual'!B116</f>
        <v>76000000</v>
      </c>
      <c r="C74" s="4">
        <v>0</v>
      </c>
      <c r="D74" s="4">
        <v>0</v>
      </c>
      <c r="E74" s="4">
        <f t="shared" si="37"/>
        <v>0</v>
      </c>
      <c r="F74" s="4">
        <v>0</v>
      </c>
      <c r="G74" s="4">
        <v>0</v>
      </c>
      <c r="H74" s="4">
        <f t="shared" si="38"/>
        <v>0</v>
      </c>
      <c r="I74" s="4">
        <f>+'202401anual'!E116</f>
        <v>4000000</v>
      </c>
      <c r="J74" s="4">
        <v>0</v>
      </c>
      <c r="K74" s="4">
        <f t="shared" si="59"/>
        <v>4000000</v>
      </c>
      <c r="L74" s="4">
        <f>+'202401anual'!F116</f>
        <v>8000000</v>
      </c>
      <c r="M74" s="4"/>
      <c r="N74" s="4">
        <f t="shared" si="60"/>
        <v>8000000</v>
      </c>
      <c r="O74" s="4">
        <f>+'202401anual'!G116</f>
        <v>20000000</v>
      </c>
      <c r="P74" s="4">
        <v>0</v>
      </c>
      <c r="Q74" s="4">
        <f t="shared" si="61"/>
        <v>20000000</v>
      </c>
      <c r="R74" s="4">
        <f>+'202401anual'!H116</f>
        <v>8000000</v>
      </c>
      <c r="S74" s="4"/>
      <c r="T74" s="4">
        <f t="shared" si="62"/>
        <v>8000000</v>
      </c>
      <c r="U74" s="4">
        <f>+'202401anual'!I116</f>
        <v>8000000</v>
      </c>
      <c r="V74" s="4">
        <v>5839300</v>
      </c>
      <c r="W74" s="4">
        <f t="shared" si="63"/>
        <v>2160700</v>
      </c>
      <c r="X74" s="4">
        <f>+'202401anual'!J116</f>
        <v>8000000</v>
      </c>
      <c r="Y74" s="4">
        <v>0</v>
      </c>
      <c r="Z74" s="4">
        <f t="shared" si="64"/>
        <v>8000000</v>
      </c>
      <c r="AA74" s="4">
        <f>+'202401anual'!K116-8000000</f>
        <v>0</v>
      </c>
      <c r="AB74" s="4"/>
      <c r="AC74" s="4">
        <f t="shared" si="65"/>
        <v>0</v>
      </c>
      <c r="AD74" s="4">
        <f>+'202401anual'!L116+1600000</f>
        <v>9600000</v>
      </c>
      <c r="AE74" s="4">
        <v>10169288</v>
      </c>
      <c r="AF74" s="4">
        <f t="shared" si="45"/>
        <v>-569288</v>
      </c>
      <c r="AG74" s="4">
        <v>8000000</v>
      </c>
      <c r="AH74" s="4"/>
      <c r="AI74" s="4">
        <f t="shared" si="46"/>
        <v>8000000</v>
      </c>
      <c r="AJ74" s="4"/>
      <c r="AK74" s="4"/>
      <c r="AL74" s="4"/>
      <c r="AM74" s="4">
        <f t="shared" si="66"/>
        <v>73600000</v>
      </c>
      <c r="AN74" s="4">
        <f t="shared" si="67"/>
        <v>16008588</v>
      </c>
      <c r="AO74" s="4">
        <f t="shared" si="68"/>
        <v>57591412</v>
      </c>
      <c r="AP74" s="43">
        <f t="shared" si="69"/>
        <v>78.249201086956518</v>
      </c>
      <c r="AQ74" s="34">
        <f t="shared" si="70"/>
        <v>0</v>
      </c>
      <c r="AR74" s="38"/>
      <c r="AS74" s="2"/>
    </row>
    <row r="75" spans="1:45" ht="15" customHeight="1" x14ac:dyDescent="0.25">
      <c r="A75" s="21" t="s">
        <v>148</v>
      </c>
      <c r="B75" s="4">
        <f>+'202401anual'!B117</f>
        <v>14000000</v>
      </c>
      <c r="C75" s="4">
        <v>0</v>
      </c>
      <c r="D75" s="4">
        <v>0</v>
      </c>
      <c r="E75" s="4">
        <f t="shared" si="37"/>
        <v>0</v>
      </c>
      <c r="F75" s="4">
        <v>0</v>
      </c>
      <c r="G75" s="4">
        <v>0</v>
      </c>
      <c r="H75" s="4">
        <f t="shared" si="38"/>
        <v>0</v>
      </c>
      <c r="I75" s="4">
        <f>+'202401anual'!E117</f>
        <v>0</v>
      </c>
      <c r="J75" s="4">
        <v>0</v>
      </c>
      <c r="K75" s="4">
        <f t="shared" si="59"/>
        <v>0</v>
      </c>
      <c r="L75" s="4">
        <f>+'202401anual'!F117</f>
        <v>0</v>
      </c>
      <c r="M75" s="4"/>
      <c r="N75" s="4">
        <f t="shared" si="60"/>
        <v>0</v>
      </c>
      <c r="O75" s="4">
        <f>+'202401anual'!G117</f>
        <v>7000000</v>
      </c>
      <c r="P75" s="4">
        <v>0</v>
      </c>
      <c r="Q75" s="4">
        <f t="shared" si="61"/>
        <v>7000000</v>
      </c>
      <c r="R75" s="4">
        <v>0</v>
      </c>
      <c r="S75" s="4"/>
      <c r="T75" s="4">
        <f t="shared" si="62"/>
        <v>0</v>
      </c>
      <c r="U75" s="4">
        <v>0</v>
      </c>
      <c r="V75" s="4">
        <v>0</v>
      </c>
      <c r="W75" s="4">
        <f t="shared" si="63"/>
        <v>0</v>
      </c>
      <c r="X75" s="4">
        <f>+'202401anual'!J117</f>
        <v>0</v>
      </c>
      <c r="Y75" s="4">
        <v>0</v>
      </c>
      <c r="Z75" s="4">
        <f t="shared" si="64"/>
        <v>0</v>
      </c>
      <c r="AA75" s="4"/>
      <c r="AB75" s="4"/>
      <c r="AC75" s="4">
        <f t="shared" si="65"/>
        <v>0</v>
      </c>
      <c r="AD75" s="4">
        <f>+'202401anual'!L117+1000000</f>
        <v>8000000</v>
      </c>
      <c r="AE75" s="4">
        <f>3492580+4543000</f>
        <v>8035580</v>
      </c>
      <c r="AF75" s="4">
        <f t="shared" si="45"/>
        <v>-35580</v>
      </c>
      <c r="AG75" s="4">
        <f>+'202401anual'!M117</f>
        <v>0</v>
      </c>
      <c r="AH75" s="4"/>
      <c r="AI75" s="4">
        <f t="shared" si="46"/>
        <v>0</v>
      </c>
      <c r="AJ75" s="4"/>
      <c r="AK75" s="4"/>
      <c r="AL75" s="4"/>
      <c r="AM75" s="4">
        <f t="shared" si="66"/>
        <v>15000000</v>
      </c>
      <c r="AN75" s="4">
        <f t="shared" si="67"/>
        <v>8035580</v>
      </c>
      <c r="AO75" s="4">
        <f t="shared" si="68"/>
        <v>6964420</v>
      </c>
      <c r="AP75" s="43">
        <f t="shared" si="69"/>
        <v>46.42946666666667</v>
      </c>
      <c r="AQ75" s="34">
        <f t="shared" si="70"/>
        <v>0</v>
      </c>
      <c r="AR75" s="38"/>
      <c r="AS75" s="2"/>
    </row>
    <row r="76" spans="1:45" ht="15" customHeight="1" x14ac:dyDescent="0.25">
      <c r="A76" s="21" t="s">
        <v>186</v>
      </c>
      <c r="B76" s="4">
        <f>+'202401anual'!B119</f>
        <v>10000000</v>
      </c>
      <c r="C76" s="4">
        <v>7000000</v>
      </c>
      <c r="D76" s="4">
        <v>2166666</v>
      </c>
      <c r="E76" s="4">
        <f t="shared" si="37"/>
        <v>4833334</v>
      </c>
      <c r="F76" s="4">
        <v>0</v>
      </c>
      <c r="G76" s="4">
        <v>0</v>
      </c>
      <c r="H76" s="4">
        <f t="shared" si="38"/>
        <v>0</v>
      </c>
      <c r="I76" s="4">
        <f>+'202401anual'!E119</f>
        <v>0</v>
      </c>
      <c r="J76" s="4">
        <v>0</v>
      </c>
      <c r="K76" s="4">
        <f t="shared" si="59"/>
        <v>0</v>
      </c>
      <c r="L76" s="4">
        <f>2000000+2660000</f>
        <v>4660000</v>
      </c>
      <c r="M76" s="4">
        <v>1625000</v>
      </c>
      <c r="N76" s="4">
        <f t="shared" si="60"/>
        <v>3035000</v>
      </c>
      <c r="O76" s="4">
        <f>+'202401anual'!G119</f>
        <v>0</v>
      </c>
      <c r="P76" s="4">
        <v>0</v>
      </c>
      <c r="Q76" s="4">
        <f t="shared" si="61"/>
        <v>0</v>
      </c>
      <c r="R76" s="4">
        <v>0</v>
      </c>
      <c r="S76" s="4"/>
      <c r="T76" s="4">
        <f t="shared" si="62"/>
        <v>0</v>
      </c>
      <c r="U76" s="4">
        <v>0</v>
      </c>
      <c r="V76" s="4">
        <v>0</v>
      </c>
      <c r="W76" s="4">
        <f t="shared" si="63"/>
        <v>0</v>
      </c>
      <c r="X76" s="4">
        <f>+'202401anual'!J119</f>
        <v>2680000</v>
      </c>
      <c r="Y76" s="4">
        <v>0</v>
      </c>
      <c r="Z76" s="4">
        <f t="shared" si="64"/>
        <v>2680000</v>
      </c>
      <c r="AA76" s="4"/>
      <c r="AB76" s="4">
        <v>4123410</v>
      </c>
      <c r="AC76" s="4">
        <f t="shared" si="65"/>
        <v>-4123410</v>
      </c>
      <c r="AD76" s="4">
        <v>0</v>
      </c>
      <c r="AE76" s="4">
        <v>0</v>
      </c>
      <c r="AF76" s="4">
        <f t="shared" si="45"/>
        <v>0</v>
      </c>
      <c r="AG76" s="4">
        <f>+'202401anual'!M119</f>
        <v>0</v>
      </c>
      <c r="AH76" s="4"/>
      <c r="AI76" s="4">
        <f t="shared" si="46"/>
        <v>0</v>
      </c>
      <c r="AJ76" s="4"/>
      <c r="AK76" s="4"/>
      <c r="AL76" s="4"/>
      <c r="AM76" s="4">
        <f t="shared" si="66"/>
        <v>14340000</v>
      </c>
      <c r="AN76" s="4">
        <f t="shared" si="67"/>
        <v>7915076</v>
      </c>
      <c r="AO76" s="4">
        <f t="shared" si="68"/>
        <v>6424924</v>
      </c>
      <c r="AP76" s="43">
        <f t="shared" si="69"/>
        <v>44.804211994421202</v>
      </c>
      <c r="AQ76" s="34">
        <f t="shared" si="70"/>
        <v>0</v>
      </c>
      <c r="AR76" s="38"/>
      <c r="AS76" s="2"/>
    </row>
    <row r="77" spans="1:45" ht="15" customHeight="1" x14ac:dyDescent="0.25">
      <c r="A77" s="21" t="s">
        <v>33</v>
      </c>
      <c r="B77" s="4">
        <v>9825000</v>
      </c>
      <c r="C77" s="4">
        <v>0</v>
      </c>
      <c r="D77" s="4">
        <v>0</v>
      </c>
      <c r="E77" s="4">
        <f t="shared" si="37"/>
        <v>0</v>
      </c>
      <c r="F77" s="4">
        <v>0</v>
      </c>
      <c r="G77" s="4">
        <v>0</v>
      </c>
      <c r="H77" s="4">
        <f t="shared" si="38"/>
        <v>0</v>
      </c>
      <c r="I77" s="4">
        <f>+'202401anual'!E131</f>
        <v>982500</v>
      </c>
      <c r="J77" s="4">
        <v>0</v>
      </c>
      <c r="K77" s="4">
        <f t="shared" si="59"/>
        <v>982500</v>
      </c>
      <c r="L77" s="4">
        <v>1093000</v>
      </c>
      <c r="M77" s="4"/>
      <c r="N77" s="4">
        <f t="shared" si="60"/>
        <v>1093000</v>
      </c>
      <c r="O77" s="4">
        <f>+'202401anual'!G131</f>
        <v>1091500</v>
      </c>
      <c r="P77" s="4">
        <v>0</v>
      </c>
      <c r="Q77" s="4">
        <f t="shared" si="61"/>
        <v>1091500</v>
      </c>
      <c r="R77" s="4">
        <f>+'202401anual'!H94</f>
        <v>3428500</v>
      </c>
      <c r="S77" s="4"/>
      <c r="T77" s="4">
        <f t="shared" si="62"/>
        <v>3428500</v>
      </c>
      <c r="U77" s="4">
        <f>+'202401anual'!I131</f>
        <v>1091500</v>
      </c>
      <c r="V77" s="4">
        <f>1518300+206000</f>
        <v>1724300</v>
      </c>
      <c r="W77" s="4">
        <f t="shared" si="63"/>
        <v>-632800</v>
      </c>
      <c r="X77" s="4">
        <f>+'202401anual'!J131</f>
        <v>1091500</v>
      </c>
      <c r="Y77" s="4">
        <v>0</v>
      </c>
      <c r="Z77" s="4">
        <f t="shared" si="64"/>
        <v>1091500</v>
      </c>
      <c r="AA77" s="4">
        <f>+'202401anual'!K131</f>
        <v>1091500</v>
      </c>
      <c r="AB77" s="4"/>
      <c r="AC77" s="4">
        <f t="shared" si="65"/>
        <v>1091500</v>
      </c>
      <c r="AD77" s="4">
        <f>+'202401anual'!L131</f>
        <v>1091500</v>
      </c>
      <c r="AE77" s="4"/>
      <c r="AF77" s="4">
        <f t="shared" si="45"/>
        <v>1091500</v>
      </c>
      <c r="AG77" s="4">
        <f>+'202401anual'!M131</f>
        <v>1091500</v>
      </c>
      <c r="AH77" s="4">
        <f>+[18]EjecucionPptalPasiva!$Q$100</f>
        <v>2810900</v>
      </c>
      <c r="AI77" s="4">
        <f t="shared" si="46"/>
        <v>-1719400</v>
      </c>
      <c r="AJ77" s="4"/>
      <c r="AK77" s="4"/>
      <c r="AL77" s="4"/>
      <c r="AM77" s="4">
        <f t="shared" si="66"/>
        <v>12053000</v>
      </c>
      <c r="AN77" s="4">
        <f t="shared" si="67"/>
        <v>4535200</v>
      </c>
      <c r="AO77" s="4">
        <f t="shared" si="68"/>
        <v>7517800</v>
      </c>
      <c r="AP77" s="43">
        <f t="shared" si="69"/>
        <v>62.372853231560612</v>
      </c>
      <c r="AQ77" s="34">
        <f t="shared" si="70"/>
        <v>0</v>
      </c>
      <c r="AR77" s="38"/>
      <c r="AS77" s="2"/>
    </row>
    <row r="78" spans="1:45" ht="15" customHeight="1" x14ac:dyDescent="0.25">
      <c r="A78" s="5" t="s">
        <v>68</v>
      </c>
      <c r="B78" s="4">
        <v>48000000</v>
      </c>
      <c r="C78" s="4">
        <v>4000000</v>
      </c>
      <c r="D78" s="4">
        <v>5711400</v>
      </c>
      <c r="E78" s="4">
        <f t="shared" si="37"/>
        <v>-1711400</v>
      </c>
      <c r="F78" s="4">
        <v>4000000</v>
      </c>
      <c r="G78" s="4">
        <v>6387300</v>
      </c>
      <c r="H78" s="4">
        <f t="shared" si="38"/>
        <v>-2387300</v>
      </c>
      <c r="I78" s="4">
        <f>+'202401anual'!E133</f>
        <v>4000000</v>
      </c>
      <c r="J78" s="4">
        <v>8787600</v>
      </c>
      <c r="K78" s="4">
        <f t="shared" si="59"/>
        <v>-4787600</v>
      </c>
      <c r="L78" s="4">
        <f>+'202401anual'!F133</f>
        <v>4000000</v>
      </c>
      <c r="M78" s="4">
        <v>10735300</v>
      </c>
      <c r="N78" s="4">
        <f t="shared" si="60"/>
        <v>-6735300</v>
      </c>
      <c r="O78" s="4">
        <f>+'202401anual'!G133</f>
        <v>4000000</v>
      </c>
      <c r="P78" s="4">
        <v>7739760</v>
      </c>
      <c r="Q78" s="4">
        <f t="shared" si="61"/>
        <v>-3739760</v>
      </c>
      <c r="R78" s="4">
        <f>+'202401anual'!H133</f>
        <v>4000000</v>
      </c>
      <c r="S78" s="4">
        <v>3512900</v>
      </c>
      <c r="T78" s="4">
        <f t="shared" si="62"/>
        <v>487100</v>
      </c>
      <c r="U78" s="4">
        <f>+'202401anual'!I133</f>
        <v>4000000</v>
      </c>
      <c r="V78" s="4">
        <v>2405700</v>
      </c>
      <c r="W78" s="4">
        <f t="shared" si="63"/>
        <v>1594300</v>
      </c>
      <c r="X78" s="4">
        <f>+'202401anual'!J133</f>
        <v>4000000</v>
      </c>
      <c r="Y78" s="4">
        <v>7292150</v>
      </c>
      <c r="Z78" s="4">
        <f t="shared" si="64"/>
        <v>-3292150</v>
      </c>
      <c r="AA78" s="4">
        <f>+'202401anual'!K133-500000</f>
        <v>3500000</v>
      </c>
      <c r="AB78" s="4">
        <v>9123100</v>
      </c>
      <c r="AC78" s="4">
        <f t="shared" si="65"/>
        <v>-5623100</v>
      </c>
      <c r="AD78" s="4">
        <f>+'202401anual'!L133</f>
        <v>4000000</v>
      </c>
      <c r="AE78" s="4">
        <v>2000000</v>
      </c>
      <c r="AF78" s="4">
        <f t="shared" si="45"/>
        <v>2000000</v>
      </c>
      <c r="AG78" s="4">
        <f>+'202401anual'!M133</f>
        <v>4000000</v>
      </c>
      <c r="AH78" s="4">
        <f>+[18]EjecucionPptalPasiva!$Q$116</f>
        <v>6508180</v>
      </c>
      <c r="AI78" s="4">
        <f t="shared" si="46"/>
        <v>-2508180</v>
      </c>
      <c r="AJ78" s="4"/>
      <c r="AK78" s="4"/>
      <c r="AL78" s="4"/>
      <c r="AM78" s="4">
        <f t="shared" si="66"/>
        <v>43500000</v>
      </c>
      <c r="AN78" s="4">
        <f t="shared" si="67"/>
        <v>70203390</v>
      </c>
      <c r="AO78" s="4">
        <f t="shared" si="68"/>
        <v>-26703390</v>
      </c>
      <c r="AP78" s="43">
        <f t="shared" si="69"/>
        <v>-61.387103448275859</v>
      </c>
      <c r="AQ78" s="34">
        <f t="shared" si="70"/>
        <v>0</v>
      </c>
      <c r="AR78" s="38"/>
      <c r="AS78" s="2"/>
    </row>
    <row r="79" spans="1:45" ht="15" customHeight="1" x14ac:dyDescent="0.25">
      <c r="A79" s="5" t="s">
        <v>86</v>
      </c>
      <c r="B79" s="4">
        <v>39052465</v>
      </c>
      <c r="C79" s="4">
        <v>3254372.0833333335</v>
      </c>
      <c r="D79" s="4">
        <v>2267882</v>
      </c>
      <c r="E79" s="4">
        <f t="shared" si="37"/>
        <v>986490.08333333349</v>
      </c>
      <c r="F79" s="4">
        <v>3254372.0833333335</v>
      </c>
      <c r="G79" s="4">
        <v>2447184</v>
      </c>
      <c r="H79" s="4">
        <f t="shared" si="38"/>
        <v>807188.08333333349</v>
      </c>
      <c r="I79" s="4">
        <f>+'202401anual'!E134</f>
        <v>3254372.0833333335</v>
      </c>
      <c r="J79" s="4">
        <v>0</v>
      </c>
      <c r="K79" s="4">
        <f t="shared" si="59"/>
        <v>3254372.0833333335</v>
      </c>
      <c r="L79" s="4">
        <f>+'202401anual'!F134</f>
        <v>3254372.0833333335</v>
      </c>
      <c r="M79" s="4">
        <f>2539475+223523</f>
        <v>2762998</v>
      </c>
      <c r="N79" s="4">
        <f t="shared" si="60"/>
        <v>491374.08333333349</v>
      </c>
      <c r="O79" s="4">
        <f>+'202401anual'!G134</f>
        <v>3254372.0833333335</v>
      </c>
      <c r="P79" s="4">
        <v>2284739</v>
      </c>
      <c r="Q79" s="4">
        <f t="shared" si="61"/>
        <v>969633.08333333349</v>
      </c>
      <c r="R79" s="4">
        <f>+'202401anual'!H134</f>
        <v>3254372.0833333335</v>
      </c>
      <c r="S79" s="4"/>
      <c r="T79" s="4">
        <f t="shared" si="62"/>
        <v>3254372.0833333335</v>
      </c>
      <c r="U79" s="4">
        <f>+'202401anual'!I134</f>
        <v>3254372.0833333335</v>
      </c>
      <c r="V79" s="4">
        <v>1982040</v>
      </c>
      <c r="W79" s="4">
        <f t="shared" si="63"/>
        <v>1272332.0833333335</v>
      </c>
      <c r="X79" s="4">
        <f>+'202401anual'!J134</f>
        <v>3254372.0833333335</v>
      </c>
      <c r="Y79" s="4">
        <v>2386081</v>
      </c>
      <c r="Z79" s="4">
        <f t="shared" si="64"/>
        <v>868291.08333333349</v>
      </c>
      <c r="AA79" s="4">
        <f>+'202401anual'!K134</f>
        <v>3254372.0833333335</v>
      </c>
      <c r="AB79" s="4">
        <v>2277299</v>
      </c>
      <c r="AC79" s="4">
        <f t="shared" si="65"/>
        <v>977073.08333333349</v>
      </c>
      <c r="AD79" s="4">
        <f>+'202401anual'!L134</f>
        <v>3254372.0833333335</v>
      </c>
      <c r="AE79" s="4">
        <v>2430336</v>
      </c>
      <c r="AF79" s="4">
        <f t="shared" si="45"/>
        <v>824036.08333333349</v>
      </c>
      <c r="AG79" s="4">
        <f>+'202401anual'!M134</f>
        <v>3254372.0833333335</v>
      </c>
      <c r="AH79" s="4">
        <f>+[18]EjecucionPptalPasiva!$Q$132</f>
        <v>1935693</v>
      </c>
      <c r="AI79" s="4">
        <f t="shared" si="46"/>
        <v>1318679.0833333335</v>
      </c>
      <c r="AJ79" s="4"/>
      <c r="AK79" s="4"/>
      <c r="AL79" s="4"/>
      <c r="AM79" s="4">
        <f t="shared" si="66"/>
        <v>35798092.916666664</v>
      </c>
      <c r="AN79" s="4">
        <f t="shared" si="67"/>
        <v>20774252</v>
      </c>
      <c r="AO79" s="4">
        <f t="shared" si="68"/>
        <v>15023840.916666664</v>
      </c>
      <c r="AP79" s="43">
        <f t="shared" si="69"/>
        <v>41.96827175023045</v>
      </c>
      <c r="AQ79" s="34">
        <f t="shared" si="70"/>
        <v>6.9849193096160889E-9</v>
      </c>
      <c r="AR79" s="38"/>
      <c r="AS79" s="2"/>
    </row>
    <row r="80" spans="1:45" ht="15" customHeight="1" x14ac:dyDescent="0.25">
      <c r="A80" s="5" t="s">
        <v>76</v>
      </c>
      <c r="B80" s="4">
        <v>9000000</v>
      </c>
      <c r="C80" s="4">
        <v>0</v>
      </c>
      <c r="D80" s="4">
        <v>0</v>
      </c>
      <c r="E80" s="4">
        <f t="shared" si="37"/>
        <v>0</v>
      </c>
      <c r="F80" s="4">
        <v>6000000</v>
      </c>
      <c r="G80" s="4">
        <v>0</v>
      </c>
      <c r="H80" s="4">
        <f t="shared" si="38"/>
        <v>6000000</v>
      </c>
      <c r="I80" s="4">
        <f>+'202401anual'!E136</f>
        <v>0</v>
      </c>
      <c r="J80" s="4">
        <v>0</v>
      </c>
      <c r="K80" s="4">
        <f t="shared" si="59"/>
        <v>0</v>
      </c>
      <c r="L80" s="4">
        <f>+'202401anual'!F136</f>
        <v>0</v>
      </c>
      <c r="M80" s="4"/>
      <c r="N80" s="4">
        <f t="shared" si="60"/>
        <v>0</v>
      </c>
      <c r="O80" s="4">
        <f>+'202401anual'!G136</f>
        <v>0</v>
      </c>
      <c r="P80" s="4">
        <v>0</v>
      </c>
      <c r="Q80" s="4">
        <f t="shared" si="61"/>
        <v>0</v>
      </c>
      <c r="R80" s="4">
        <f>+'202401anual'!H136</f>
        <v>3000000</v>
      </c>
      <c r="S80" s="4"/>
      <c r="T80" s="4">
        <f t="shared" si="62"/>
        <v>3000000</v>
      </c>
      <c r="U80" s="4">
        <f>+'202401anual'!I136</f>
        <v>10000000</v>
      </c>
      <c r="V80" s="4">
        <v>0</v>
      </c>
      <c r="W80" s="4">
        <f t="shared" si="63"/>
        <v>10000000</v>
      </c>
      <c r="X80" s="4">
        <f>+'202401anual'!J136</f>
        <v>0</v>
      </c>
      <c r="Y80" s="4">
        <v>0</v>
      </c>
      <c r="Z80" s="4">
        <f t="shared" si="64"/>
        <v>0</v>
      </c>
      <c r="AA80" s="4"/>
      <c r="AB80" s="4">
        <v>10500000</v>
      </c>
      <c r="AC80" s="4">
        <f t="shared" si="65"/>
        <v>-10500000</v>
      </c>
      <c r="AD80" s="4">
        <v>0</v>
      </c>
      <c r="AE80" s="4">
        <v>26250000</v>
      </c>
      <c r="AF80" s="4">
        <f t="shared" si="45"/>
        <v>-26250000</v>
      </c>
      <c r="AG80" s="4">
        <f>+'202401anual'!M136</f>
        <v>0</v>
      </c>
      <c r="AH80" s="4"/>
      <c r="AI80" s="4">
        <f t="shared" si="46"/>
        <v>0</v>
      </c>
      <c r="AJ80" s="4"/>
      <c r="AK80" s="4"/>
      <c r="AL80" s="4"/>
      <c r="AM80" s="4">
        <f t="shared" si="66"/>
        <v>19000000</v>
      </c>
      <c r="AN80" s="4">
        <f t="shared" si="67"/>
        <v>36750000</v>
      </c>
      <c r="AO80" s="4">
        <f t="shared" si="68"/>
        <v>-17750000</v>
      </c>
      <c r="AP80" s="43">
        <f t="shared" si="69"/>
        <v>-93.421052631578945</v>
      </c>
      <c r="AQ80" s="34">
        <f t="shared" si="70"/>
        <v>0</v>
      </c>
      <c r="AR80" s="38"/>
      <c r="AS80" s="2"/>
    </row>
    <row r="81" spans="1:45" x14ac:dyDescent="0.25">
      <c r="A81" s="5" t="s">
        <v>61</v>
      </c>
      <c r="B81" s="4">
        <v>10000000</v>
      </c>
      <c r="C81" s="4">
        <v>0</v>
      </c>
      <c r="D81" s="4">
        <v>0</v>
      </c>
      <c r="E81" s="4">
        <f t="shared" si="37"/>
        <v>0</v>
      </c>
      <c r="F81" s="4">
        <v>0</v>
      </c>
      <c r="G81" s="4">
        <v>0</v>
      </c>
      <c r="H81" s="4">
        <f t="shared" si="38"/>
        <v>0</v>
      </c>
      <c r="I81" s="4">
        <f>+'202401anual'!E137</f>
        <v>0</v>
      </c>
      <c r="J81" s="4">
        <v>0</v>
      </c>
      <c r="K81" s="4">
        <f t="shared" si="59"/>
        <v>0</v>
      </c>
      <c r="L81" s="4">
        <f>+'202401anual'!F137</f>
        <v>0</v>
      </c>
      <c r="M81" s="4"/>
      <c r="N81" s="4">
        <f t="shared" si="60"/>
        <v>0</v>
      </c>
      <c r="O81" s="4">
        <f>+'202401anual'!G137</f>
        <v>0</v>
      </c>
      <c r="P81" s="4">
        <v>0</v>
      </c>
      <c r="Q81" s="4">
        <f t="shared" si="61"/>
        <v>0</v>
      </c>
      <c r="R81" s="4">
        <f>+'202401anual'!H111</f>
        <v>0</v>
      </c>
      <c r="S81" s="4"/>
      <c r="T81" s="4">
        <f t="shared" si="62"/>
        <v>0</v>
      </c>
      <c r="U81" s="4">
        <v>0</v>
      </c>
      <c r="V81" s="4">
        <v>0</v>
      </c>
      <c r="W81" s="4">
        <f t="shared" si="63"/>
        <v>0</v>
      </c>
      <c r="X81" s="4">
        <f>+'202401anual'!J137</f>
        <v>5000000</v>
      </c>
      <c r="Y81" s="4">
        <v>0</v>
      </c>
      <c r="Z81" s="4">
        <f t="shared" si="64"/>
        <v>5000000</v>
      </c>
      <c r="AA81" s="4"/>
      <c r="AB81" s="4"/>
      <c r="AC81" s="4">
        <f t="shared" si="65"/>
        <v>0</v>
      </c>
      <c r="AD81" s="4">
        <v>0</v>
      </c>
      <c r="AE81" s="4">
        <v>0</v>
      </c>
      <c r="AF81" s="4">
        <f t="shared" si="45"/>
        <v>0</v>
      </c>
      <c r="AG81" s="4">
        <v>0</v>
      </c>
      <c r="AH81" s="4"/>
      <c r="AI81" s="4">
        <f t="shared" si="46"/>
        <v>0</v>
      </c>
      <c r="AJ81" s="4"/>
      <c r="AK81" s="4"/>
      <c r="AL81" s="4"/>
      <c r="AM81" s="4">
        <f t="shared" si="66"/>
        <v>5000000</v>
      </c>
      <c r="AN81" s="4">
        <f t="shared" si="67"/>
        <v>0</v>
      </c>
      <c r="AO81" s="4">
        <f t="shared" si="68"/>
        <v>5000000</v>
      </c>
      <c r="AP81" s="43">
        <f t="shared" si="69"/>
        <v>100</v>
      </c>
      <c r="AQ81" s="34">
        <f t="shared" si="70"/>
        <v>0</v>
      </c>
      <c r="AR81" s="38"/>
      <c r="AS81" s="2"/>
    </row>
    <row r="82" spans="1:45" ht="15" customHeight="1" x14ac:dyDescent="0.25">
      <c r="A82" s="5" t="s">
        <v>193</v>
      </c>
      <c r="B82" s="4">
        <v>122648000</v>
      </c>
      <c r="C82" s="4">
        <v>8200000</v>
      </c>
      <c r="D82" s="4">
        <v>4774760</v>
      </c>
      <c r="E82" s="4">
        <f t="shared" si="37"/>
        <v>3425240</v>
      </c>
      <c r="F82" s="4">
        <v>8200000</v>
      </c>
      <c r="G82" s="4">
        <v>8012725</v>
      </c>
      <c r="H82" s="4">
        <f t="shared" si="38"/>
        <v>187275</v>
      </c>
      <c r="I82" s="4">
        <f>+'202401anual'!E138-27000000</f>
        <v>774000</v>
      </c>
      <c r="J82" s="4">
        <v>463094</v>
      </c>
      <c r="K82" s="4">
        <f t="shared" si="59"/>
        <v>310906</v>
      </c>
      <c r="L82" s="4">
        <f>+'202401anual'!F138+'[7]Planeación 2024 P&amp;K'!$O$55</f>
        <v>27774000</v>
      </c>
      <c r="M82" s="4">
        <f>629321+679144+3177350</f>
        <v>4485815</v>
      </c>
      <c r="N82" s="4">
        <f t="shared" si="60"/>
        <v>23288185</v>
      </c>
      <c r="O82" s="4">
        <f>+'202401anual'!G138</f>
        <v>8200000</v>
      </c>
      <c r="P82" s="4">
        <v>459497</v>
      </c>
      <c r="Q82" s="4">
        <f t="shared" si="61"/>
        <v>7740503</v>
      </c>
      <c r="R82" s="4">
        <f>+'202401anual'!H138</f>
        <v>8200000</v>
      </c>
      <c r="S82" s="4">
        <f>863111+541441+2850956</f>
        <v>4255508</v>
      </c>
      <c r="T82" s="4">
        <f t="shared" si="62"/>
        <v>3944492</v>
      </c>
      <c r="U82" s="4">
        <f>+'202401anual'!I138</f>
        <v>8200000</v>
      </c>
      <c r="V82" s="4">
        <f>4129000+1046778+3660997+1518507</f>
        <v>10355282</v>
      </c>
      <c r="W82" s="4">
        <f t="shared" si="63"/>
        <v>-2155282</v>
      </c>
      <c r="X82" s="4">
        <f>+'202401anual'!J138</f>
        <v>32536000</v>
      </c>
      <c r="Y82" s="4">
        <v>5964688</v>
      </c>
      <c r="Z82" s="4">
        <f t="shared" si="64"/>
        <v>26571312</v>
      </c>
      <c r="AA82" s="4">
        <v>0</v>
      </c>
      <c r="AB82" s="4">
        <v>5752777</v>
      </c>
      <c r="AC82" s="4">
        <f t="shared" si="65"/>
        <v>-5752777</v>
      </c>
      <c r="AD82" s="4">
        <f>+'202401anual'!L138</f>
        <v>8200000</v>
      </c>
      <c r="AE82" s="4">
        <f>859227+3800000+1800000</f>
        <v>6459227</v>
      </c>
      <c r="AF82" s="4">
        <f t="shared" si="45"/>
        <v>1740773</v>
      </c>
      <c r="AG82" s="4">
        <f>+'202401anual'!M138</f>
        <v>8200000</v>
      </c>
      <c r="AH82" s="4">
        <f>+[18]EjecucionPptalPasiva!$Q$271+[18]EjecucionPptalPasiva!$Q$287+[18]EjecucionPptalPasiva!$Q$368</f>
        <v>6053860</v>
      </c>
      <c r="AI82" s="4">
        <f t="shared" si="46"/>
        <v>2146140</v>
      </c>
      <c r="AJ82" s="4"/>
      <c r="AK82" s="4"/>
      <c r="AL82" s="4"/>
      <c r="AM82" s="4">
        <f t="shared" si="66"/>
        <v>118484000</v>
      </c>
      <c r="AN82" s="4">
        <f t="shared" si="67"/>
        <v>57037233</v>
      </c>
      <c r="AO82" s="4">
        <f t="shared" si="68"/>
        <v>61446767</v>
      </c>
      <c r="AP82" s="43">
        <f t="shared" si="69"/>
        <v>51.860814118361972</v>
      </c>
      <c r="AQ82" s="34">
        <f t="shared" si="70"/>
        <v>0</v>
      </c>
      <c r="AR82" s="38"/>
      <c r="AS82" s="2"/>
    </row>
    <row r="83" spans="1:45" ht="15" customHeight="1" x14ac:dyDescent="0.25">
      <c r="A83" s="5" t="s">
        <v>83</v>
      </c>
      <c r="B83" s="4">
        <v>6000000</v>
      </c>
      <c r="C83" s="4">
        <v>500000</v>
      </c>
      <c r="D83" s="4">
        <v>0</v>
      </c>
      <c r="E83" s="4">
        <f t="shared" si="37"/>
        <v>500000</v>
      </c>
      <c r="F83" s="4">
        <v>500000</v>
      </c>
      <c r="G83" s="4">
        <v>0</v>
      </c>
      <c r="H83" s="4">
        <f t="shared" si="38"/>
        <v>500000</v>
      </c>
      <c r="I83" s="4">
        <f>+'202401anual'!E139</f>
        <v>500000</v>
      </c>
      <c r="J83" s="4">
        <v>0</v>
      </c>
      <c r="K83" s="4">
        <f t="shared" si="59"/>
        <v>500000</v>
      </c>
      <c r="L83" s="4">
        <f>+'202401anual'!F139</f>
        <v>500000</v>
      </c>
      <c r="M83" s="4">
        <v>109000</v>
      </c>
      <c r="N83" s="4">
        <f t="shared" si="60"/>
        <v>391000</v>
      </c>
      <c r="O83" s="4">
        <f>+'202401anual'!G139</f>
        <v>500000</v>
      </c>
      <c r="P83" s="4">
        <v>0</v>
      </c>
      <c r="Q83" s="4">
        <f t="shared" si="61"/>
        <v>500000</v>
      </c>
      <c r="R83" s="4">
        <f>+'202401anual'!H139</f>
        <v>500000</v>
      </c>
      <c r="S83" s="4">
        <v>1795000</v>
      </c>
      <c r="T83" s="4">
        <f t="shared" si="62"/>
        <v>-1295000</v>
      </c>
      <c r="U83" s="4">
        <f>+'202401anual'!I139</f>
        <v>500000</v>
      </c>
      <c r="V83" s="4">
        <v>0</v>
      </c>
      <c r="W83" s="4">
        <f t="shared" si="63"/>
        <v>500000</v>
      </c>
      <c r="X83" s="4">
        <f>+'202401anual'!J139</f>
        <v>500000</v>
      </c>
      <c r="Y83" s="4">
        <v>0</v>
      </c>
      <c r="Z83" s="4">
        <f t="shared" si="64"/>
        <v>500000</v>
      </c>
      <c r="AA83" s="4">
        <v>0</v>
      </c>
      <c r="AB83" s="4"/>
      <c r="AC83" s="4">
        <f t="shared" si="65"/>
        <v>0</v>
      </c>
      <c r="AD83" s="4">
        <f>+'202401anual'!L139</f>
        <v>500000</v>
      </c>
      <c r="AE83" s="4">
        <v>657100</v>
      </c>
      <c r="AF83" s="4">
        <f t="shared" si="45"/>
        <v>-157100</v>
      </c>
      <c r="AG83" s="4">
        <f>+'202401anual'!M139</f>
        <v>500000</v>
      </c>
      <c r="AH83" s="4">
        <v>0</v>
      </c>
      <c r="AI83" s="4">
        <f t="shared" si="46"/>
        <v>500000</v>
      </c>
      <c r="AJ83" s="4"/>
      <c r="AK83" s="4"/>
      <c r="AL83" s="4"/>
      <c r="AM83" s="4">
        <f t="shared" si="66"/>
        <v>5000000</v>
      </c>
      <c r="AN83" s="4">
        <f t="shared" si="67"/>
        <v>2561100</v>
      </c>
      <c r="AO83" s="4">
        <f t="shared" si="68"/>
        <v>2438900</v>
      </c>
      <c r="AP83" s="43">
        <f t="shared" si="69"/>
        <v>48.777999999999999</v>
      </c>
      <c r="AQ83" s="34">
        <f t="shared" si="70"/>
        <v>0</v>
      </c>
      <c r="AR83" s="38"/>
      <c r="AS83" s="2"/>
    </row>
    <row r="84" spans="1:45" ht="15" customHeight="1" x14ac:dyDescent="0.25">
      <c r="A84" s="5" t="s">
        <v>56</v>
      </c>
      <c r="B84" s="4">
        <v>18100000</v>
      </c>
      <c r="C84" s="4">
        <v>1508333.3333333333</v>
      </c>
      <c r="D84" s="4">
        <v>0</v>
      </c>
      <c r="E84" s="4">
        <f t="shared" si="37"/>
        <v>1508333.3333333333</v>
      </c>
      <c r="F84" s="4">
        <v>1508333.3333333333</v>
      </c>
      <c r="G84" s="4">
        <v>0</v>
      </c>
      <c r="H84" s="4">
        <f t="shared" si="38"/>
        <v>1508333.3333333333</v>
      </c>
      <c r="I84" s="4">
        <f>+'202401anual'!E140</f>
        <v>1508333.3333333333</v>
      </c>
      <c r="J84" s="4">
        <v>0</v>
      </c>
      <c r="K84" s="4">
        <f t="shared" si="59"/>
        <v>1508333.3333333333</v>
      </c>
      <c r="L84" s="4">
        <f>+'202401anual'!F140</f>
        <v>1508333.3333333333</v>
      </c>
      <c r="M84" s="4"/>
      <c r="N84" s="4">
        <f t="shared" si="60"/>
        <v>1508333.3333333333</v>
      </c>
      <c r="O84" s="4">
        <f>+'202401anual'!G140</f>
        <v>1508333.3333333333</v>
      </c>
      <c r="P84" s="4">
        <v>17075000</v>
      </c>
      <c r="Q84" s="4">
        <f t="shared" si="61"/>
        <v>-15566666.666666666</v>
      </c>
      <c r="R84" s="4">
        <f>+'202401anual'!H140</f>
        <v>1508333.3333333333</v>
      </c>
      <c r="S84" s="4"/>
      <c r="T84" s="4">
        <f t="shared" si="62"/>
        <v>1508333.3333333333</v>
      </c>
      <c r="U84" s="4">
        <f>+'202401anual'!I140</f>
        <v>1508333.3333333333</v>
      </c>
      <c r="V84" s="4">
        <v>0</v>
      </c>
      <c r="W84" s="4">
        <f t="shared" si="63"/>
        <v>1508333.3333333333</v>
      </c>
      <c r="X84" s="4">
        <f>+'202401anual'!J140</f>
        <v>1508333.3333333333</v>
      </c>
      <c r="Y84" s="4">
        <v>0</v>
      </c>
      <c r="Z84" s="4">
        <f t="shared" si="64"/>
        <v>1508333.3333333333</v>
      </c>
      <c r="AA84" s="4">
        <f>+'202401anual'!K140</f>
        <v>1508333.3333333333</v>
      </c>
      <c r="AB84" s="4"/>
      <c r="AC84" s="4">
        <f t="shared" si="65"/>
        <v>1508333.3333333333</v>
      </c>
      <c r="AD84" s="4">
        <f>+'202401anual'!L140</f>
        <v>1508333.3333333333</v>
      </c>
      <c r="AE84" s="4">
        <v>0</v>
      </c>
      <c r="AF84" s="4">
        <f t="shared" si="45"/>
        <v>1508333.3333333333</v>
      </c>
      <c r="AG84" s="4">
        <f>+'202401anual'!M140</f>
        <v>1508333.3333333333</v>
      </c>
      <c r="AH84" s="4">
        <f>+[18]EjecucionPptalPasiva!$Q$132</f>
        <v>1935693</v>
      </c>
      <c r="AI84" s="4">
        <f t="shared" si="46"/>
        <v>-427359.66666666674</v>
      </c>
      <c r="AJ84" s="4"/>
      <c r="AK84" s="4"/>
      <c r="AL84" s="4"/>
      <c r="AM84" s="4">
        <f t="shared" si="66"/>
        <v>16591666.66666667</v>
      </c>
      <c r="AN84" s="4">
        <f t="shared" si="67"/>
        <v>19010693</v>
      </c>
      <c r="AO84" s="4">
        <f t="shared" si="68"/>
        <v>-2419026.3333333302</v>
      </c>
      <c r="AP84" s="43">
        <f t="shared" si="69"/>
        <v>-14.579766951280742</v>
      </c>
      <c r="AQ84" s="34">
        <f t="shared" si="70"/>
        <v>-3.2596290111541748E-9</v>
      </c>
      <c r="AR84" s="38"/>
      <c r="AS84" s="2"/>
    </row>
    <row r="85" spans="1:45" ht="15" customHeight="1" x14ac:dyDescent="0.25">
      <c r="A85" s="5" t="s">
        <v>38</v>
      </c>
      <c r="B85" s="4">
        <v>29568000</v>
      </c>
      <c r="C85" s="4">
        <v>2464000</v>
      </c>
      <c r="D85" s="4">
        <v>2600000</v>
      </c>
      <c r="E85" s="4">
        <f t="shared" si="37"/>
        <v>-136000</v>
      </c>
      <c r="F85" s="4">
        <v>2464000</v>
      </c>
      <c r="G85" s="4">
        <v>2600000</v>
      </c>
      <c r="H85" s="4">
        <f t="shared" si="38"/>
        <v>-136000</v>
      </c>
      <c r="I85" s="4">
        <f>+'202401anual'!E141</f>
        <v>2464000</v>
      </c>
      <c r="J85" s="4">
        <v>2600000</v>
      </c>
      <c r="K85" s="4">
        <f t="shared" si="59"/>
        <v>-136000</v>
      </c>
      <c r="L85" s="4">
        <f>+'202401anual'!F141</f>
        <v>2464000</v>
      </c>
      <c r="M85" s="4">
        <v>2600000</v>
      </c>
      <c r="N85" s="4">
        <f t="shared" si="60"/>
        <v>-136000</v>
      </c>
      <c r="O85" s="4">
        <f>+'202401anual'!G141</f>
        <v>2464000</v>
      </c>
      <c r="P85" s="4">
        <v>2600000</v>
      </c>
      <c r="Q85" s="4">
        <f t="shared" si="61"/>
        <v>-136000</v>
      </c>
      <c r="R85" s="4">
        <f>+'202401anual'!H141</f>
        <v>2464000</v>
      </c>
      <c r="S85" s="4">
        <v>2600000</v>
      </c>
      <c r="T85" s="4">
        <f t="shared" si="62"/>
        <v>-136000</v>
      </c>
      <c r="U85" s="4">
        <f>+'202401anual'!I141</f>
        <v>2464000</v>
      </c>
      <c r="V85" s="4">
        <v>2600000</v>
      </c>
      <c r="W85" s="4">
        <f t="shared" si="63"/>
        <v>-136000</v>
      </c>
      <c r="X85" s="4">
        <f>+'202401anual'!J141</f>
        <v>2464000</v>
      </c>
      <c r="Y85" s="4">
        <v>2600000</v>
      </c>
      <c r="Z85" s="4">
        <f t="shared" si="64"/>
        <v>-136000</v>
      </c>
      <c r="AA85" s="4">
        <f>+'202401anual'!K141</f>
        <v>2464000</v>
      </c>
      <c r="AB85" s="4">
        <v>2600000</v>
      </c>
      <c r="AC85" s="4">
        <f t="shared" si="65"/>
        <v>-136000</v>
      </c>
      <c r="AD85" s="4">
        <f>+'202401anual'!L141</f>
        <v>2464000</v>
      </c>
      <c r="AE85" s="4">
        <v>2600000</v>
      </c>
      <c r="AF85" s="4">
        <f t="shared" si="45"/>
        <v>-136000</v>
      </c>
      <c r="AG85" s="4">
        <f>+'202401anual'!M141</f>
        <v>2464000</v>
      </c>
      <c r="AH85" s="4">
        <v>2600000</v>
      </c>
      <c r="AI85" s="4">
        <f t="shared" si="46"/>
        <v>-136000</v>
      </c>
      <c r="AJ85" s="4"/>
      <c r="AK85" s="4"/>
      <c r="AL85" s="4"/>
      <c r="AM85" s="4">
        <f t="shared" si="66"/>
        <v>27104000</v>
      </c>
      <c r="AN85" s="4">
        <f t="shared" si="67"/>
        <v>28600000</v>
      </c>
      <c r="AO85" s="4">
        <f t="shared" si="68"/>
        <v>-1496000</v>
      </c>
      <c r="AP85" s="43">
        <f t="shared" si="69"/>
        <v>-5.5194805194805197</v>
      </c>
      <c r="AQ85" s="34">
        <f t="shared" si="70"/>
        <v>0</v>
      </c>
      <c r="AR85" s="38"/>
      <c r="AS85" s="2"/>
    </row>
    <row r="86" spans="1:45" ht="15" customHeight="1" x14ac:dyDescent="0.25">
      <c r="A86" s="5" t="s">
        <v>39</v>
      </c>
      <c r="B86" s="4">
        <f>+'202401anual'!B142</f>
        <v>222000000</v>
      </c>
      <c r="C86" s="4">
        <v>63728000</v>
      </c>
      <c r="D86" s="4">
        <f>3410000+41074933</f>
        <v>44484933</v>
      </c>
      <c r="E86" s="4">
        <f t="shared" si="37"/>
        <v>19243067</v>
      </c>
      <c r="F86" s="4">
        <v>63728000</v>
      </c>
      <c r="G86" s="4">
        <v>15600000</v>
      </c>
      <c r="H86" s="4">
        <f t="shared" si="38"/>
        <v>48128000</v>
      </c>
      <c r="I86" s="4">
        <f>+'202401anual'!E142</f>
        <v>9454400</v>
      </c>
      <c r="J86" s="4">
        <v>15600000</v>
      </c>
      <c r="K86" s="4">
        <f t="shared" si="59"/>
        <v>-6145600</v>
      </c>
      <c r="L86" s="4">
        <v>16250000</v>
      </c>
      <c r="M86" s="4">
        <v>15600000</v>
      </c>
      <c r="N86" s="4">
        <f t="shared" si="60"/>
        <v>650000</v>
      </c>
      <c r="O86" s="4">
        <f>+'202401anual'!G142</f>
        <v>16000000</v>
      </c>
      <c r="P86" s="4">
        <v>15600000</v>
      </c>
      <c r="Q86" s="4">
        <f t="shared" si="61"/>
        <v>400000</v>
      </c>
      <c r="R86" s="4">
        <f>+'202401anual'!H142</f>
        <v>16000000</v>
      </c>
      <c r="S86" s="4">
        <v>15600000</v>
      </c>
      <c r="T86" s="4">
        <f t="shared" si="62"/>
        <v>400000</v>
      </c>
      <c r="U86" s="4">
        <f>+'202401anual'!I142</f>
        <v>16000000</v>
      </c>
      <c r="V86" s="4">
        <v>15600000</v>
      </c>
      <c r="W86" s="4">
        <f t="shared" si="63"/>
        <v>400000</v>
      </c>
      <c r="X86" s="4">
        <f>+'202401anual'!J142</f>
        <v>16000000</v>
      </c>
      <c r="Y86" s="4">
        <v>15600000</v>
      </c>
      <c r="Z86" s="4">
        <f t="shared" si="64"/>
        <v>400000</v>
      </c>
      <c r="AA86" s="4">
        <f>+'202401anual'!K142</f>
        <v>16000000</v>
      </c>
      <c r="AB86" s="4">
        <v>15600000</v>
      </c>
      <c r="AC86" s="4">
        <f t="shared" si="65"/>
        <v>400000</v>
      </c>
      <c r="AD86" s="4">
        <f>+'202401anual'!L142</f>
        <v>16000000</v>
      </c>
      <c r="AE86" s="4">
        <v>15600000</v>
      </c>
      <c r="AF86" s="4">
        <f t="shared" si="45"/>
        <v>400000</v>
      </c>
      <c r="AG86" s="4">
        <f>+'202401anual'!M142</f>
        <v>16000000</v>
      </c>
      <c r="AH86" s="4">
        <v>15600000</v>
      </c>
      <c r="AI86" s="4">
        <f t="shared" si="46"/>
        <v>400000</v>
      </c>
      <c r="AJ86" s="4"/>
      <c r="AK86" s="4"/>
      <c r="AL86" s="4"/>
      <c r="AM86" s="4">
        <f t="shared" si="66"/>
        <v>265160400</v>
      </c>
      <c r="AN86" s="4">
        <f t="shared" si="67"/>
        <v>200484933</v>
      </c>
      <c r="AO86" s="4">
        <f t="shared" si="68"/>
        <v>64675467</v>
      </c>
      <c r="AP86" s="43">
        <f t="shared" si="69"/>
        <v>24.391073101413333</v>
      </c>
      <c r="AQ86" s="34">
        <f t="shared" si="70"/>
        <v>0</v>
      </c>
      <c r="AR86" s="38"/>
      <c r="AS86" s="2"/>
    </row>
    <row r="87" spans="1:45" ht="15" customHeight="1" x14ac:dyDescent="0.25">
      <c r="A87" s="12" t="s">
        <v>187</v>
      </c>
      <c r="B87" s="8">
        <f>SUM(B52:B86)</f>
        <v>1734119616.1100512</v>
      </c>
      <c r="C87" s="8">
        <f t="shared" ref="C87:AO87" si="71">SUM(C52:C86)</f>
        <v>152504284.67583761</v>
      </c>
      <c r="D87" s="8">
        <f>SUM(D52:D86)</f>
        <v>113011108.707</v>
      </c>
      <c r="E87" s="8">
        <f t="shared" si="71"/>
        <v>39493175.968837604</v>
      </c>
      <c r="F87" s="8">
        <f>SUM(F52:F86)</f>
        <v>165458284.67583761</v>
      </c>
      <c r="G87" s="8">
        <f t="shared" si="71"/>
        <v>91823885.829999998</v>
      </c>
      <c r="H87" s="8">
        <f t="shared" si="71"/>
        <v>73634398.845837608</v>
      </c>
      <c r="I87" s="8">
        <f t="shared" si="71"/>
        <v>118428291.67583761</v>
      </c>
      <c r="J87" s="8">
        <f t="shared" si="71"/>
        <v>80767480.019999996</v>
      </c>
      <c r="K87" s="8">
        <f t="shared" si="71"/>
        <v>37660811.655837618</v>
      </c>
      <c r="L87" s="8">
        <f t="shared" si="71"/>
        <v>220204084.67583764</v>
      </c>
      <c r="M87" s="8">
        <f t="shared" si="71"/>
        <v>123398968</v>
      </c>
      <c r="N87" s="8">
        <f t="shared" si="71"/>
        <v>96805116.675837606</v>
      </c>
      <c r="O87" s="8">
        <f t="shared" si="71"/>
        <v>155562884.67583761</v>
      </c>
      <c r="P87" s="8">
        <f t="shared" si="71"/>
        <v>118836292</v>
      </c>
      <c r="Q87" s="8">
        <f t="shared" si="71"/>
        <v>36726592.675837614</v>
      </c>
      <c r="R87" s="8">
        <f t="shared" si="71"/>
        <v>151746284.67583761</v>
      </c>
      <c r="S87" s="8">
        <f t="shared" si="71"/>
        <v>128133676.2815</v>
      </c>
      <c r="T87" s="8">
        <f>SUM(T52:T86)</f>
        <v>23612608.394337606</v>
      </c>
      <c r="U87" s="8">
        <f t="shared" si="71"/>
        <v>151284084.67583761</v>
      </c>
      <c r="V87" s="8">
        <f t="shared" si="71"/>
        <v>111866002.5</v>
      </c>
      <c r="W87" s="8">
        <f t="shared" si="71"/>
        <v>39418082.175837614</v>
      </c>
      <c r="X87" s="8">
        <f t="shared" si="71"/>
        <v>193809579.67583764</v>
      </c>
      <c r="Y87" s="8">
        <f t="shared" si="71"/>
        <v>127659009</v>
      </c>
      <c r="Z87" s="8">
        <f t="shared" si="71"/>
        <v>66150570.675837614</v>
      </c>
      <c r="AA87" s="8">
        <f t="shared" si="71"/>
        <v>93434084.675837606</v>
      </c>
      <c r="AB87" s="8">
        <f t="shared" si="71"/>
        <v>135202295</v>
      </c>
      <c r="AC87" s="8">
        <f t="shared" si="71"/>
        <v>-41768210.324162386</v>
      </c>
      <c r="AD87" s="8">
        <f t="shared" si="71"/>
        <v>162160284.67583761</v>
      </c>
      <c r="AE87" s="8">
        <f t="shared" si="71"/>
        <v>178551850.08841467</v>
      </c>
      <c r="AF87" s="8">
        <f t="shared" si="71"/>
        <v>-16391565.412577085</v>
      </c>
      <c r="AG87" s="8">
        <f t="shared" si="71"/>
        <v>137699284.67583761</v>
      </c>
      <c r="AH87" s="8">
        <f t="shared" si="71"/>
        <v>138423620</v>
      </c>
      <c r="AI87" s="8">
        <f t="shared" si="71"/>
        <v>-724335.32416239125</v>
      </c>
      <c r="AJ87" s="8">
        <f t="shared" si="71"/>
        <v>0</v>
      </c>
      <c r="AK87" s="8">
        <f t="shared" si="71"/>
        <v>0</v>
      </c>
      <c r="AL87" s="8">
        <f t="shared" si="71"/>
        <v>0</v>
      </c>
      <c r="AM87" s="8">
        <f t="shared" si="71"/>
        <v>1702291433.4342136</v>
      </c>
      <c r="AN87" s="8">
        <f t="shared" si="71"/>
        <v>1347674187.4269147</v>
      </c>
      <c r="AO87" s="8">
        <f t="shared" si="71"/>
        <v>354617246.00729889</v>
      </c>
      <c r="AP87" s="31">
        <f>+AO87/AM87</f>
        <v>0.20831758830618785</v>
      </c>
      <c r="AQ87" s="34">
        <f t="shared" si="70"/>
        <v>2.1117739379405975E-7</v>
      </c>
      <c r="AR87" s="51">
        <f>+AI87/AG87*100</f>
        <v>-0.52602693315914661</v>
      </c>
      <c r="AS87" s="2"/>
    </row>
    <row r="88" spans="1:45" x14ac:dyDescent="0.25">
      <c r="A88" s="5" t="str">
        <f>+'202401anual'!A122</f>
        <v>Reforestacion</v>
      </c>
      <c r="B88" s="4">
        <v>30000000</v>
      </c>
      <c r="C88" s="4">
        <v>0</v>
      </c>
      <c r="D88" s="4">
        <v>0</v>
      </c>
      <c r="E88" s="4">
        <f t="shared" si="37"/>
        <v>0</v>
      </c>
      <c r="F88" s="4">
        <v>0</v>
      </c>
      <c r="G88" s="4">
        <v>0</v>
      </c>
      <c r="H88" s="4">
        <f t="shared" si="38"/>
        <v>0</v>
      </c>
      <c r="I88" s="4">
        <v>0</v>
      </c>
      <c r="J88" s="4">
        <v>0</v>
      </c>
      <c r="K88" s="4">
        <f t="shared" si="59"/>
        <v>0</v>
      </c>
      <c r="L88" s="4">
        <f>+'202401anual'!F122-2150000</f>
        <v>7850000</v>
      </c>
      <c r="M88" s="4">
        <v>0</v>
      </c>
      <c r="N88" s="4">
        <f t="shared" si="60"/>
        <v>7850000</v>
      </c>
      <c r="O88" s="4">
        <f>+'202401anual'!G122</f>
        <v>0</v>
      </c>
      <c r="P88" s="4">
        <v>0</v>
      </c>
      <c r="Q88" s="4">
        <f t="shared" si="61"/>
        <v>0</v>
      </c>
      <c r="R88" s="4">
        <f>+'202401anual'!H122</f>
        <v>20000000</v>
      </c>
      <c r="S88" s="4">
        <v>0</v>
      </c>
      <c r="T88" s="4">
        <f t="shared" si="62"/>
        <v>20000000</v>
      </c>
      <c r="U88" s="4">
        <v>0</v>
      </c>
      <c r="V88" s="4">
        <v>0</v>
      </c>
      <c r="W88" s="4">
        <f t="shared" si="63"/>
        <v>0</v>
      </c>
      <c r="X88" s="4">
        <v>0</v>
      </c>
      <c r="Y88" s="4">
        <v>0</v>
      </c>
      <c r="Z88" s="4">
        <f t="shared" si="64"/>
        <v>0</v>
      </c>
      <c r="AA88" s="4">
        <f>+'202401anual'!K111</f>
        <v>0</v>
      </c>
      <c r="AB88" s="4"/>
      <c r="AC88" s="4">
        <f t="shared" si="65"/>
        <v>0</v>
      </c>
      <c r="AD88" s="4">
        <f>+'202401anual'!L111</f>
        <v>0</v>
      </c>
      <c r="AE88" s="4"/>
      <c r="AF88" s="4">
        <f t="shared" si="45"/>
        <v>0</v>
      </c>
      <c r="AG88" s="4"/>
      <c r="AH88" s="4"/>
      <c r="AI88" s="4">
        <f t="shared" si="46"/>
        <v>0</v>
      </c>
      <c r="AJ88" s="4"/>
      <c r="AK88" s="4"/>
      <c r="AL88" s="4">
        <f t="shared" si="47"/>
        <v>0</v>
      </c>
      <c r="AM88" s="4">
        <f t="shared" si="66"/>
        <v>27850000</v>
      </c>
      <c r="AN88" s="4">
        <f t="shared" si="67"/>
        <v>0</v>
      </c>
      <c r="AO88" s="4">
        <f t="shared" ref="AO88:AO96" si="72">+AM88-AN88</f>
        <v>27850000</v>
      </c>
      <c r="AP88" s="43">
        <f t="shared" si="69"/>
        <v>100</v>
      </c>
      <c r="AQ88" s="34">
        <f t="shared" si="70"/>
        <v>0</v>
      </c>
      <c r="AR88" s="38"/>
      <c r="AS88" s="2"/>
    </row>
    <row r="89" spans="1:45" x14ac:dyDescent="0.25">
      <c r="A89" s="5" t="str">
        <f>+'202401anual'!A123</f>
        <v>CRETIB</v>
      </c>
      <c r="B89" s="4">
        <f>+'202401anual'!B123</f>
        <v>15000000</v>
      </c>
      <c r="C89" s="4">
        <v>0</v>
      </c>
      <c r="D89" s="4">
        <v>0</v>
      </c>
      <c r="E89" s="4">
        <f t="shared" si="37"/>
        <v>0</v>
      </c>
      <c r="F89" s="4">
        <v>0</v>
      </c>
      <c r="G89" s="4">
        <v>0</v>
      </c>
      <c r="H89" s="4">
        <f t="shared" si="38"/>
        <v>0</v>
      </c>
      <c r="I89" s="4">
        <v>0</v>
      </c>
      <c r="J89" s="4">
        <v>0</v>
      </c>
      <c r="K89" s="4">
        <f t="shared" si="59"/>
        <v>0</v>
      </c>
      <c r="L89" s="4">
        <f>+'202401anual'!F123</f>
        <v>7500000</v>
      </c>
      <c r="M89" s="4"/>
      <c r="N89" s="4">
        <f t="shared" si="60"/>
        <v>7500000</v>
      </c>
      <c r="O89" s="4">
        <f>+'202401anual'!G123</f>
        <v>0</v>
      </c>
      <c r="P89" s="4">
        <v>0</v>
      </c>
      <c r="Q89" s="4">
        <f t="shared" si="61"/>
        <v>0</v>
      </c>
      <c r="R89" s="4"/>
      <c r="S89" s="4">
        <v>0</v>
      </c>
      <c r="T89" s="4">
        <f t="shared" si="62"/>
        <v>0</v>
      </c>
      <c r="U89" s="4">
        <v>0</v>
      </c>
      <c r="V89" s="4">
        <v>0</v>
      </c>
      <c r="W89" s="4">
        <f t="shared" si="63"/>
        <v>0</v>
      </c>
      <c r="X89" s="4">
        <v>0</v>
      </c>
      <c r="Y89" s="4">
        <v>0</v>
      </c>
      <c r="Z89" s="4">
        <f t="shared" si="64"/>
        <v>0</v>
      </c>
      <c r="AA89" s="4">
        <v>0</v>
      </c>
      <c r="AB89" s="4"/>
      <c r="AC89" s="4">
        <f t="shared" si="65"/>
        <v>0</v>
      </c>
      <c r="AD89" s="4"/>
      <c r="AE89" s="4">
        <v>0</v>
      </c>
      <c r="AF89" s="4">
        <f t="shared" si="45"/>
        <v>0</v>
      </c>
      <c r="AG89" s="4">
        <v>0</v>
      </c>
      <c r="AH89" s="4"/>
      <c r="AI89" s="4">
        <f t="shared" si="46"/>
        <v>0</v>
      </c>
      <c r="AJ89" s="4"/>
      <c r="AK89" s="4"/>
      <c r="AL89" s="4">
        <f t="shared" si="47"/>
        <v>0</v>
      </c>
      <c r="AM89" s="4">
        <f t="shared" si="66"/>
        <v>7500000</v>
      </c>
      <c r="AN89" s="4">
        <f t="shared" si="67"/>
        <v>0</v>
      </c>
      <c r="AO89" s="4">
        <f t="shared" si="72"/>
        <v>7500000</v>
      </c>
      <c r="AP89" s="43">
        <f t="shared" si="69"/>
        <v>100</v>
      </c>
      <c r="AQ89" s="34">
        <f t="shared" si="70"/>
        <v>0</v>
      </c>
      <c r="AR89" s="38"/>
      <c r="AS89" s="2"/>
    </row>
    <row r="90" spans="1:45" x14ac:dyDescent="0.25">
      <c r="A90" s="5" t="str">
        <f>+'202401anual'!A124</f>
        <v>Limpieza de cuencas</v>
      </c>
      <c r="B90" s="4">
        <f>+'202401anual'!B124</f>
        <v>5500000</v>
      </c>
      <c r="C90" s="4">
        <v>0</v>
      </c>
      <c r="D90" s="4">
        <v>0</v>
      </c>
      <c r="E90" s="4">
        <f t="shared" si="37"/>
        <v>0</v>
      </c>
      <c r="F90" s="4">
        <v>0</v>
      </c>
      <c r="G90" s="4">
        <v>0</v>
      </c>
      <c r="H90" s="4">
        <f t="shared" si="38"/>
        <v>0</v>
      </c>
      <c r="I90" s="4">
        <v>0</v>
      </c>
      <c r="J90" s="4">
        <v>0</v>
      </c>
      <c r="K90" s="4">
        <f t="shared" si="59"/>
        <v>0</v>
      </c>
      <c r="L90" s="4">
        <f>+'202401anual'!F124</f>
        <v>0</v>
      </c>
      <c r="M90" s="4"/>
      <c r="N90" s="4">
        <f t="shared" si="60"/>
        <v>0</v>
      </c>
      <c r="O90" s="4">
        <f>+'202401anual'!G124</f>
        <v>0</v>
      </c>
      <c r="P90" s="4">
        <v>0</v>
      </c>
      <c r="Q90" s="4">
        <f t="shared" si="61"/>
        <v>0</v>
      </c>
      <c r="R90" s="4"/>
      <c r="S90" s="4">
        <v>0</v>
      </c>
      <c r="T90" s="4">
        <f t="shared" si="62"/>
        <v>0</v>
      </c>
      <c r="U90" s="4"/>
      <c r="V90" s="4">
        <v>0</v>
      </c>
      <c r="W90" s="4">
        <f t="shared" si="63"/>
        <v>0</v>
      </c>
      <c r="X90" s="4"/>
      <c r="Y90" s="4"/>
      <c r="Z90" s="4">
        <f t="shared" si="64"/>
        <v>0</v>
      </c>
      <c r="AA90" s="4">
        <f>+'202401anual'!K124-2500000</f>
        <v>0</v>
      </c>
      <c r="AB90" s="4"/>
      <c r="AC90" s="4">
        <f t="shared" si="65"/>
        <v>0</v>
      </c>
      <c r="AD90" s="4"/>
      <c r="AE90" s="4"/>
      <c r="AF90" s="4">
        <f t="shared" si="45"/>
        <v>0</v>
      </c>
      <c r="AG90" s="4"/>
      <c r="AH90" s="4"/>
      <c r="AI90" s="4">
        <f t="shared" si="46"/>
        <v>0</v>
      </c>
      <c r="AJ90" s="4"/>
      <c r="AK90" s="4"/>
      <c r="AL90" s="4">
        <f t="shared" si="47"/>
        <v>0</v>
      </c>
      <c r="AM90" s="4">
        <f t="shared" si="66"/>
        <v>0</v>
      </c>
      <c r="AN90" s="4">
        <f t="shared" si="67"/>
        <v>0</v>
      </c>
      <c r="AO90" s="4">
        <f t="shared" si="72"/>
        <v>0</v>
      </c>
      <c r="AP90" s="43" t="e">
        <f t="shared" si="69"/>
        <v>#DIV/0!</v>
      </c>
      <c r="AQ90" s="34">
        <f t="shared" si="70"/>
        <v>0</v>
      </c>
      <c r="AR90" s="38"/>
      <c r="AS90" s="106"/>
    </row>
    <row r="91" spans="1:45" x14ac:dyDescent="0.25">
      <c r="A91" s="5" t="str">
        <f>+'202401anual'!A125</f>
        <v>Permiso de vertimiento (alcantarillado)</v>
      </c>
      <c r="B91" s="4">
        <v>10000000</v>
      </c>
      <c r="C91" s="4">
        <v>0</v>
      </c>
      <c r="D91" s="4">
        <v>0</v>
      </c>
      <c r="E91" s="4">
        <f t="shared" si="37"/>
        <v>0</v>
      </c>
      <c r="F91" s="4">
        <v>0</v>
      </c>
      <c r="G91" s="4">
        <v>0</v>
      </c>
      <c r="H91" s="4">
        <f t="shared" si="38"/>
        <v>0</v>
      </c>
      <c r="I91" s="4">
        <v>0</v>
      </c>
      <c r="J91" s="4">
        <v>0</v>
      </c>
      <c r="K91" s="4">
        <f t="shared" si="59"/>
        <v>0</v>
      </c>
      <c r="L91" s="4">
        <f>+'202401anual'!F126</f>
        <v>0</v>
      </c>
      <c r="M91" s="4"/>
      <c r="N91" s="4">
        <f t="shared" si="60"/>
        <v>0</v>
      </c>
      <c r="O91" s="4">
        <f>+'202401anual'!G125</f>
        <v>10000000</v>
      </c>
      <c r="P91" s="4"/>
      <c r="Q91" s="4">
        <f t="shared" si="61"/>
        <v>10000000</v>
      </c>
      <c r="R91" s="4"/>
      <c r="S91" s="4"/>
      <c r="T91" s="4">
        <f t="shared" si="62"/>
        <v>0</v>
      </c>
      <c r="U91" s="4">
        <f>+'202401anual'!I128</f>
        <v>10000000</v>
      </c>
      <c r="V91" s="4">
        <v>0</v>
      </c>
      <c r="W91" s="4">
        <f t="shared" si="63"/>
        <v>10000000</v>
      </c>
      <c r="X91" s="4">
        <v>0</v>
      </c>
      <c r="Y91" s="4">
        <v>0</v>
      </c>
      <c r="Z91" s="4">
        <f t="shared" si="64"/>
        <v>0</v>
      </c>
      <c r="AA91" s="4"/>
      <c r="AB91" s="4"/>
      <c r="AC91" s="4">
        <f t="shared" si="65"/>
        <v>0</v>
      </c>
      <c r="AD91" s="4"/>
      <c r="AE91" s="4"/>
      <c r="AF91" s="4">
        <f t="shared" si="45"/>
        <v>0</v>
      </c>
      <c r="AG91" s="4"/>
      <c r="AH91" s="4"/>
      <c r="AI91" s="4">
        <f t="shared" si="46"/>
        <v>0</v>
      </c>
      <c r="AJ91" s="4"/>
      <c r="AK91" s="4"/>
      <c r="AL91" s="4">
        <f t="shared" si="47"/>
        <v>0</v>
      </c>
      <c r="AM91" s="4">
        <f t="shared" si="66"/>
        <v>20000000</v>
      </c>
      <c r="AN91" s="4">
        <f t="shared" si="67"/>
        <v>0</v>
      </c>
      <c r="AO91" s="4">
        <f t="shared" si="72"/>
        <v>20000000</v>
      </c>
      <c r="AP91" s="43">
        <f t="shared" si="69"/>
        <v>100</v>
      </c>
      <c r="AQ91" s="34">
        <f t="shared" si="70"/>
        <v>0</v>
      </c>
      <c r="AR91" s="38"/>
      <c r="AS91" s="2"/>
    </row>
    <row r="92" spans="1:45" x14ac:dyDescent="0.25">
      <c r="A92" s="5" t="str">
        <f>+'202401anual'!A126</f>
        <v>Permiso de concesión de agua</v>
      </c>
      <c r="B92" s="4">
        <v>10000000</v>
      </c>
      <c r="C92" s="4">
        <v>0</v>
      </c>
      <c r="D92" s="4">
        <v>0</v>
      </c>
      <c r="E92" s="4">
        <f t="shared" si="37"/>
        <v>0</v>
      </c>
      <c r="F92" s="4">
        <v>0</v>
      </c>
      <c r="G92" s="4">
        <v>0</v>
      </c>
      <c r="H92" s="4">
        <f t="shared" si="38"/>
        <v>0</v>
      </c>
      <c r="I92" s="4">
        <v>0</v>
      </c>
      <c r="J92" s="4">
        <v>0</v>
      </c>
      <c r="K92" s="4">
        <f t="shared" si="59"/>
        <v>0</v>
      </c>
      <c r="L92" s="4"/>
      <c r="M92" s="4"/>
      <c r="N92" s="4">
        <f t="shared" si="60"/>
        <v>0</v>
      </c>
      <c r="O92" s="4">
        <f>+'202401anual'!G126</f>
        <v>10000000</v>
      </c>
      <c r="P92" s="4">
        <v>0</v>
      </c>
      <c r="Q92" s="4">
        <f t="shared" si="61"/>
        <v>10000000</v>
      </c>
      <c r="R92" s="4"/>
      <c r="S92" s="4"/>
      <c r="T92" s="4">
        <f t="shared" si="62"/>
        <v>0</v>
      </c>
      <c r="U92" s="4">
        <v>0</v>
      </c>
      <c r="V92" s="4">
        <v>0</v>
      </c>
      <c r="W92" s="4">
        <f t="shared" si="63"/>
        <v>0</v>
      </c>
      <c r="X92" s="4">
        <v>0</v>
      </c>
      <c r="Y92" s="4">
        <v>0</v>
      </c>
      <c r="Z92" s="4">
        <f t="shared" si="64"/>
        <v>0</v>
      </c>
      <c r="AA92" s="4"/>
      <c r="AB92" s="4"/>
      <c r="AC92" s="4">
        <f t="shared" si="65"/>
        <v>0</v>
      </c>
      <c r="AD92" s="4"/>
      <c r="AE92" s="4"/>
      <c r="AF92" s="4">
        <f t="shared" si="45"/>
        <v>0</v>
      </c>
      <c r="AG92" s="4"/>
      <c r="AH92" s="4"/>
      <c r="AI92" s="4">
        <f t="shared" si="46"/>
        <v>0</v>
      </c>
      <c r="AJ92" s="4"/>
      <c r="AK92" s="4"/>
      <c r="AL92" s="4">
        <f t="shared" si="47"/>
        <v>0</v>
      </c>
      <c r="AM92" s="4">
        <f t="shared" si="66"/>
        <v>10000000</v>
      </c>
      <c r="AN92" s="4">
        <f t="shared" si="67"/>
        <v>0</v>
      </c>
      <c r="AO92" s="4">
        <f t="shared" si="72"/>
        <v>10000000</v>
      </c>
      <c r="AP92" s="43">
        <f t="shared" si="69"/>
        <v>100</v>
      </c>
      <c r="AQ92" s="34">
        <f t="shared" si="70"/>
        <v>0</v>
      </c>
      <c r="AR92" s="38"/>
      <c r="AS92" s="2"/>
    </row>
    <row r="93" spans="1:45" x14ac:dyDescent="0.25">
      <c r="A93" s="5" t="str">
        <f>+'202401anual'!A127</f>
        <v>Vertimiento Acueducto, Tasa Retributiva</v>
      </c>
      <c r="B93" s="4">
        <v>10000000</v>
      </c>
      <c r="C93" s="4">
        <v>0</v>
      </c>
      <c r="D93" s="4">
        <v>0</v>
      </c>
      <c r="E93" s="4">
        <f t="shared" si="37"/>
        <v>0</v>
      </c>
      <c r="F93" s="4">
        <v>0</v>
      </c>
      <c r="G93" s="4">
        <v>0</v>
      </c>
      <c r="H93" s="4">
        <f t="shared" si="38"/>
        <v>0</v>
      </c>
      <c r="I93" s="4">
        <v>0</v>
      </c>
      <c r="J93" s="4">
        <v>0</v>
      </c>
      <c r="K93" s="4">
        <f t="shared" si="59"/>
        <v>0</v>
      </c>
      <c r="L93" s="4"/>
      <c r="M93" s="4"/>
      <c r="N93" s="4">
        <f t="shared" si="60"/>
        <v>0</v>
      </c>
      <c r="O93" s="4">
        <f>+'202401anual'!G127</f>
        <v>10000000</v>
      </c>
      <c r="P93" s="4">
        <v>0</v>
      </c>
      <c r="Q93" s="4">
        <f t="shared" si="61"/>
        <v>10000000</v>
      </c>
      <c r="R93" s="4"/>
      <c r="S93" s="4"/>
      <c r="T93" s="4">
        <f t="shared" si="62"/>
        <v>0</v>
      </c>
      <c r="U93" s="4">
        <v>0</v>
      </c>
      <c r="V93" s="4">
        <v>0</v>
      </c>
      <c r="W93" s="4">
        <f t="shared" si="63"/>
        <v>0</v>
      </c>
      <c r="X93" s="4">
        <v>0</v>
      </c>
      <c r="Y93" s="4">
        <v>0</v>
      </c>
      <c r="Z93" s="4">
        <f t="shared" si="64"/>
        <v>0</v>
      </c>
      <c r="AA93" s="4"/>
      <c r="AB93" s="4"/>
      <c r="AC93" s="4">
        <f t="shared" si="65"/>
        <v>0</v>
      </c>
      <c r="AD93" s="4"/>
      <c r="AE93" s="4"/>
      <c r="AF93" s="4">
        <f t="shared" si="45"/>
        <v>0</v>
      </c>
      <c r="AG93" s="4"/>
      <c r="AH93" s="4"/>
      <c r="AI93" s="4">
        <f t="shared" si="46"/>
        <v>0</v>
      </c>
      <c r="AJ93" s="4"/>
      <c r="AK93" s="4"/>
      <c r="AL93" s="4">
        <f t="shared" si="47"/>
        <v>0</v>
      </c>
      <c r="AM93" s="4">
        <f t="shared" si="66"/>
        <v>10000000</v>
      </c>
      <c r="AN93" s="4">
        <f t="shared" si="67"/>
        <v>0</v>
      </c>
      <c r="AO93" s="4">
        <f t="shared" si="72"/>
        <v>10000000</v>
      </c>
      <c r="AP93" s="43">
        <f t="shared" si="69"/>
        <v>100</v>
      </c>
      <c r="AQ93" s="34">
        <f t="shared" si="70"/>
        <v>0</v>
      </c>
      <c r="AR93" s="38"/>
      <c r="AS93" s="2"/>
    </row>
    <row r="94" spans="1:45" x14ac:dyDescent="0.25">
      <c r="A94" s="5" t="str">
        <f>+'202401anual'!A128</f>
        <v>Vertimientos Alcantarillado, Tasa retributivas</v>
      </c>
      <c r="B94" s="4">
        <v>0</v>
      </c>
      <c r="C94" s="4">
        <v>0</v>
      </c>
      <c r="D94" s="4">
        <v>0</v>
      </c>
      <c r="E94" s="4">
        <f t="shared" si="37"/>
        <v>0</v>
      </c>
      <c r="F94" s="4">
        <v>0</v>
      </c>
      <c r="G94" s="4">
        <v>0</v>
      </c>
      <c r="H94" s="4">
        <f t="shared" si="38"/>
        <v>0</v>
      </c>
      <c r="I94" s="4">
        <v>0</v>
      </c>
      <c r="J94" s="4">
        <v>0</v>
      </c>
      <c r="K94" s="4">
        <f t="shared" si="59"/>
        <v>0</v>
      </c>
      <c r="L94" s="4"/>
      <c r="M94" s="4">
        <v>0</v>
      </c>
      <c r="N94" s="4">
        <f t="shared" si="60"/>
        <v>0</v>
      </c>
      <c r="O94" s="4">
        <f>+'202401anual'!G128</f>
        <v>0</v>
      </c>
      <c r="P94" s="4">
        <v>0</v>
      </c>
      <c r="Q94" s="4">
        <f t="shared" si="61"/>
        <v>0</v>
      </c>
      <c r="R94" s="4"/>
      <c r="S94" s="4"/>
      <c r="T94" s="4">
        <f t="shared" si="62"/>
        <v>0</v>
      </c>
      <c r="U94" s="4"/>
      <c r="V94" s="4">
        <v>0</v>
      </c>
      <c r="W94" s="4">
        <f t="shared" si="63"/>
        <v>0</v>
      </c>
      <c r="X94" s="4"/>
      <c r="Y94" s="4"/>
      <c r="Z94" s="4">
        <f t="shared" si="64"/>
        <v>0</v>
      </c>
      <c r="AA94" s="4"/>
      <c r="AB94" s="4"/>
      <c r="AC94" s="4">
        <f t="shared" si="65"/>
        <v>0</v>
      </c>
      <c r="AD94" s="4"/>
      <c r="AE94" s="4"/>
      <c r="AF94" s="4">
        <f t="shared" si="45"/>
        <v>0</v>
      </c>
      <c r="AG94" s="4"/>
      <c r="AH94" s="4"/>
      <c r="AI94" s="4">
        <f t="shared" si="46"/>
        <v>0</v>
      </c>
      <c r="AJ94" s="4"/>
      <c r="AK94" s="4"/>
      <c r="AL94" s="4">
        <f t="shared" si="47"/>
        <v>0</v>
      </c>
      <c r="AM94" s="4">
        <f t="shared" si="66"/>
        <v>0</v>
      </c>
      <c r="AN94" s="4">
        <f t="shared" si="67"/>
        <v>0</v>
      </c>
      <c r="AO94" s="4">
        <f t="shared" si="72"/>
        <v>0</v>
      </c>
      <c r="AP94" s="43" t="e">
        <f t="shared" si="69"/>
        <v>#DIV/0!</v>
      </c>
      <c r="AQ94" s="34">
        <f t="shared" si="70"/>
        <v>0</v>
      </c>
      <c r="AR94" s="38"/>
      <c r="AS94" s="2"/>
    </row>
    <row r="95" spans="1:45" x14ac:dyDescent="0.25">
      <c r="A95" s="5" t="s">
        <v>201</v>
      </c>
      <c r="B95" s="4">
        <v>1500000000</v>
      </c>
      <c r="C95" s="4">
        <v>0</v>
      </c>
      <c r="D95" s="4">
        <v>0</v>
      </c>
      <c r="E95" s="4">
        <f t="shared" si="37"/>
        <v>0</v>
      </c>
      <c r="F95" s="4">
        <v>0</v>
      </c>
      <c r="G95" s="4">
        <v>0</v>
      </c>
      <c r="H95" s="4">
        <f t="shared" si="38"/>
        <v>0</v>
      </c>
      <c r="I95" s="4">
        <v>0</v>
      </c>
      <c r="J95" s="4">
        <v>0</v>
      </c>
      <c r="K95" s="4">
        <f t="shared" si="59"/>
        <v>0</v>
      </c>
      <c r="L95" s="4"/>
      <c r="M95" s="4">
        <v>0</v>
      </c>
      <c r="N95" s="4">
        <f t="shared" si="60"/>
        <v>0</v>
      </c>
      <c r="O95" s="4">
        <f>+'202401anual'!G129</f>
        <v>0</v>
      </c>
      <c r="P95" s="4">
        <v>0</v>
      </c>
      <c r="Q95" s="4">
        <f t="shared" si="61"/>
        <v>0</v>
      </c>
      <c r="R95" s="4">
        <f>+'202401anual'!H119</f>
        <v>0</v>
      </c>
      <c r="S95" s="4">
        <v>0</v>
      </c>
      <c r="T95" s="4">
        <f t="shared" si="62"/>
        <v>0</v>
      </c>
      <c r="U95" s="4"/>
      <c r="V95" s="4">
        <v>0</v>
      </c>
      <c r="W95" s="4">
        <f t="shared" si="63"/>
        <v>0</v>
      </c>
      <c r="X95" s="4">
        <v>0</v>
      </c>
      <c r="Y95" s="4">
        <v>70963150</v>
      </c>
      <c r="Z95" s="4">
        <f t="shared" si="64"/>
        <v>-70963150</v>
      </c>
      <c r="AA95" s="4">
        <f>+'202401anual'!K129-107000000</f>
        <v>1393000000</v>
      </c>
      <c r="AB95" s="4"/>
      <c r="AC95" s="4">
        <f t="shared" si="65"/>
        <v>1393000000</v>
      </c>
      <c r="AD95" s="4"/>
      <c r="AE95" s="4"/>
      <c r="AF95" s="4">
        <f t="shared" si="45"/>
        <v>0</v>
      </c>
      <c r="AG95" s="4"/>
      <c r="AH95" s="4"/>
      <c r="AI95" s="4">
        <f t="shared" si="46"/>
        <v>0</v>
      </c>
      <c r="AJ95" s="4"/>
      <c r="AK95" s="4"/>
      <c r="AL95" s="4">
        <f t="shared" si="47"/>
        <v>0</v>
      </c>
      <c r="AM95" s="4">
        <f t="shared" si="66"/>
        <v>1393000000</v>
      </c>
      <c r="AN95" s="4">
        <f t="shared" si="67"/>
        <v>70963150</v>
      </c>
      <c r="AO95" s="4">
        <f t="shared" si="72"/>
        <v>1322036850</v>
      </c>
      <c r="AP95" s="29">
        <f>+AO95/AM95*100</f>
        <v>94.905732232591532</v>
      </c>
      <c r="AQ95" s="34">
        <f t="shared" si="70"/>
        <v>0</v>
      </c>
      <c r="AR95" s="38"/>
      <c r="AS95" s="106"/>
    </row>
    <row r="96" spans="1:45" x14ac:dyDescent="0.25">
      <c r="A96" s="5" t="str">
        <f>+'202401anual'!A130</f>
        <v>Análisis emisión de gases, sitio de disposición final residuos sólidos</v>
      </c>
      <c r="B96" s="4">
        <v>0</v>
      </c>
      <c r="C96" s="4">
        <v>0</v>
      </c>
      <c r="D96" s="4">
        <v>0</v>
      </c>
      <c r="E96" s="4">
        <f t="shared" si="37"/>
        <v>0</v>
      </c>
      <c r="F96" s="82">
        <v>6000000</v>
      </c>
      <c r="G96" s="4">
        <v>0</v>
      </c>
      <c r="H96" s="4">
        <f t="shared" si="38"/>
        <v>6000000</v>
      </c>
      <c r="I96" s="4">
        <v>0</v>
      </c>
      <c r="J96" s="4">
        <v>0</v>
      </c>
      <c r="K96" s="4">
        <f t="shared" si="59"/>
        <v>0</v>
      </c>
      <c r="L96" s="4"/>
      <c r="M96" s="4"/>
      <c r="N96" s="4">
        <f t="shared" si="60"/>
        <v>0</v>
      </c>
      <c r="O96" s="4">
        <f>+'202401anual'!G130</f>
        <v>6000000</v>
      </c>
      <c r="P96" s="4">
        <v>0</v>
      </c>
      <c r="Q96" s="4">
        <f t="shared" si="61"/>
        <v>6000000</v>
      </c>
      <c r="R96" s="4"/>
      <c r="S96" s="4"/>
      <c r="T96" s="4">
        <f t="shared" si="62"/>
        <v>0</v>
      </c>
      <c r="U96" s="4">
        <v>0</v>
      </c>
      <c r="V96" s="4">
        <v>0</v>
      </c>
      <c r="W96" s="4">
        <f t="shared" si="63"/>
        <v>0</v>
      </c>
      <c r="X96" s="4">
        <v>0</v>
      </c>
      <c r="Y96" s="4">
        <v>0</v>
      </c>
      <c r="Z96" s="4">
        <f t="shared" si="64"/>
        <v>0</v>
      </c>
      <c r="AA96" s="4">
        <f>+'202401anual'!K130-3000000</f>
        <v>0</v>
      </c>
      <c r="AB96" s="4"/>
      <c r="AC96" s="4">
        <f t="shared" si="65"/>
        <v>0</v>
      </c>
      <c r="AD96" s="4"/>
      <c r="AE96" s="4"/>
      <c r="AF96" s="4">
        <f t="shared" si="45"/>
        <v>0</v>
      </c>
      <c r="AG96" s="4"/>
      <c r="AH96" s="4"/>
      <c r="AI96" s="4">
        <f t="shared" si="46"/>
        <v>0</v>
      </c>
      <c r="AJ96" s="4"/>
      <c r="AK96" s="4"/>
      <c r="AL96" s="4">
        <f t="shared" si="47"/>
        <v>0</v>
      </c>
      <c r="AM96" s="4">
        <f t="shared" si="66"/>
        <v>12000000</v>
      </c>
      <c r="AN96" s="4">
        <f t="shared" si="67"/>
        <v>0</v>
      </c>
      <c r="AO96" s="4">
        <f t="shared" si="72"/>
        <v>12000000</v>
      </c>
      <c r="AP96" s="43">
        <f t="shared" si="69"/>
        <v>100</v>
      </c>
      <c r="AQ96" s="34">
        <f t="shared" si="70"/>
        <v>0</v>
      </c>
      <c r="AR96" s="38"/>
      <c r="AS96" s="106"/>
    </row>
    <row r="97" spans="1:53" x14ac:dyDescent="0.25">
      <c r="A97" s="12" t="s">
        <v>188</v>
      </c>
      <c r="B97" s="8">
        <f>SUM(B88:B96)</f>
        <v>1580500000</v>
      </c>
      <c r="C97" s="8">
        <f>SUM(C88:C96)</f>
        <v>0</v>
      </c>
      <c r="D97" s="8">
        <f t="shared" ref="D97:AN97" si="73">SUM(D88:D96)</f>
        <v>0</v>
      </c>
      <c r="E97" s="8">
        <f t="shared" si="73"/>
        <v>0</v>
      </c>
      <c r="F97" s="8">
        <f>SUM(F88:F96)</f>
        <v>6000000</v>
      </c>
      <c r="G97" s="8">
        <f t="shared" si="73"/>
        <v>0</v>
      </c>
      <c r="H97" s="8">
        <f t="shared" si="73"/>
        <v>6000000</v>
      </c>
      <c r="I97" s="8">
        <f t="shared" si="73"/>
        <v>0</v>
      </c>
      <c r="J97" s="8">
        <f t="shared" si="73"/>
        <v>0</v>
      </c>
      <c r="K97" s="8">
        <f t="shared" si="73"/>
        <v>0</v>
      </c>
      <c r="L97" s="8">
        <f t="shared" si="73"/>
        <v>15350000</v>
      </c>
      <c r="M97" s="8">
        <f t="shared" si="73"/>
        <v>0</v>
      </c>
      <c r="N97" s="8">
        <f t="shared" si="73"/>
        <v>15350000</v>
      </c>
      <c r="O97" s="8">
        <f t="shared" si="73"/>
        <v>36000000</v>
      </c>
      <c r="P97" s="8">
        <f t="shared" si="73"/>
        <v>0</v>
      </c>
      <c r="Q97" s="8">
        <f t="shared" si="73"/>
        <v>36000000</v>
      </c>
      <c r="R97" s="8">
        <f t="shared" si="73"/>
        <v>20000000</v>
      </c>
      <c r="S97" s="8">
        <f t="shared" si="73"/>
        <v>0</v>
      </c>
      <c r="T97" s="8">
        <f t="shared" si="73"/>
        <v>20000000</v>
      </c>
      <c r="U97" s="8">
        <f t="shared" si="73"/>
        <v>10000000</v>
      </c>
      <c r="V97" s="8">
        <f t="shared" si="73"/>
        <v>0</v>
      </c>
      <c r="W97" s="8">
        <f t="shared" si="73"/>
        <v>10000000</v>
      </c>
      <c r="X97" s="8">
        <f t="shared" si="73"/>
        <v>0</v>
      </c>
      <c r="Y97" s="8">
        <f t="shared" si="73"/>
        <v>70963150</v>
      </c>
      <c r="Z97" s="8">
        <f t="shared" si="73"/>
        <v>-70963150</v>
      </c>
      <c r="AA97" s="8">
        <f t="shared" si="73"/>
        <v>1393000000</v>
      </c>
      <c r="AB97" s="8">
        <f t="shared" si="73"/>
        <v>0</v>
      </c>
      <c r="AC97" s="8">
        <f t="shared" si="73"/>
        <v>1393000000</v>
      </c>
      <c r="AD97" s="8">
        <f t="shared" si="73"/>
        <v>0</v>
      </c>
      <c r="AE97" s="8">
        <f t="shared" si="73"/>
        <v>0</v>
      </c>
      <c r="AF97" s="8">
        <f t="shared" si="73"/>
        <v>0</v>
      </c>
      <c r="AG97" s="8">
        <f t="shared" si="73"/>
        <v>0</v>
      </c>
      <c r="AH97" s="8">
        <f t="shared" si="73"/>
        <v>0</v>
      </c>
      <c r="AI97" s="8">
        <f t="shared" si="73"/>
        <v>0</v>
      </c>
      <c r="AJ97" s="8">
        <f t="shared" si="73"/>
        <v>0</v>
      </c>
      <c r="AK97" s="8">
        <f t="shared" si="73"/>
        <v>0</v>
      </c>
      <c r="AL97" s="8">
        <f t="shared" si="73"/>
        <v>0</v>
      </c>
      <c r="AM97" s="8">
        <f t="shared" si="73"/>
        <v>1480350000</v>
      </c>
      <c r="AN97" s="8">
        <f t="shared" si="73"/>
        <v>70963150</v>
      </c>
      <c r="AO97" s="8">
        <f>SUM(AO88:AO96)</f>
        <v>1409386850</v>
      </c>
      <c r="AP97" s="31">
        <f>+AO97/AM97</f>
        <v>0.95206326206640324</v>
      </c>
      <c r="AQ97" s="34">
        <f t="shared" si="70"/>
        <v>0</v>
      </c>
      <c r="AR97" s="38"/>
      <c r="AS97" s="2"/>
    </row>
    <row r="98" spans="1:53" x14ac:dyDescent="0.25">
      <c r="A98" s="12" t="s">
        <v>189</v>
      </c>
      <c r="B98" s="8">
        <f t="shared" ref="B98:AO98" si="74">+B97+B87+B50</f>
        <v>3962596188.7873907</v>
      </c>
      <c r="C98" s="8">
        <f t="shared" si="74"/>
        <v>210216582.39894927</v>
      </c>
      <c r="D98" s="8">
        <f t="shared" si="74"/>
        <v>144799890</v>
      </c>
      <c r="E98" s="8">
        <f t="shared" si="74"/>
        <v>65416692.398949251</v>
      </c>
      <c r="F98" s="8">
        <f t="shared" si="74"/>
        <v>229170582.39894927</v>
      </c>
      <c r="G98" s="8">
        <f t="shared" si="74"/>
        <v>147807852.82999998</v>
      </c>
      <c r="H98" s="8">
        <f t="shared" si="74"/>
        <v>81362729.568949252</v>
      </c>
      <c r="I98" s="8">
        <f t="shared" si="74"/>
        <v>149510589.39894927</v>
      </c>
      <c r="J98" s="8">
        <f t="shared" si="74"/>
        <v>108288270.02</v>
      </c>
      <c r="K98" s="8">
        <f t="shared" si="74"/>
        <v>41222319.378949262</v>
      </c>
      <c r="L98" s="8">
        <f t="shared" si="74"/>
        <v>290595889.23228264</v>
      </c>
      <c r="M98" s="8">
        <f t="shared" si="74"/>
        <v>181243440.15000001</v>
      </c>
      <c r="N98" s="8">
        <f t="shared" si="74"/>
        <v>109352449.08228257</v>
      </c>
      <c r="O98" s="8">
        <f t="shared" si="74"/>
        <v>250604689.23228258</v>
      </c>
      <c r="P98" s="8">
        <f t="shared" si="74"/>
        <v>172465442</v>
      </c>
      <c r="Q98" s="8">
        <f t="shared" si="74"/>
        <v>78139247.232282579</v>
      </c>
      <c r="R98" s="8">
        <f t="shared" si="74"/>
        <v>241157089.23228258</v>
      </c>
      <c r="S98" s="8">
        <f t="shared" si="74"/>
        <v>182092083.28149998</v>
      </c>
      <c r="T98" s="8">
        <f t="shared" si="74"/>
        <v>59065005.950782582</v>
      </c>
      <c r="U98" s="8">
        <f t="shared" si="74"/>
        <v>245157607.23228258</v>
      </c>
      <c r="V98" s="8">
        <f t="shared" si="74"/>
        <v>141347014.19999999</v>
      </c>
      <c r="W98" s="8">
        <f t="shared" si="74"/>
        <v>103810593.03228259</v>
      </c>
      <c r="X98" s="8">
        <f t="shared" si="74"/>
        <v>259903489.23583764</v>
      </c>
      <c r="Y98" s="8">
        <f t="shared" si="74"/>
        <v>273840567.55000001</v>
      </c>
      <c r="Z98" s="8">
        <f t="shared" si="74"/>
        <v>-13937078.314162388</v>
      </c>
      <c r="AA98" s="8">
        <f t="shared" si="74"/>
        <v>1519677989.2358375</v>
      </c>
      <c r="AB98" s="8">
        <f t="shared" si="74"/>
        <v>194579763</v>
      </c>
      <c r="AC98" s="8">
        <f t="shared" si="74"/>
        <v>1325098226.2358375</v>
      </c>
      <c r="AD98" s="8">
        <f t="shared" si="74"/>
        <v>233202089.23583761</v>
      </c>
      <c r="AE98" s="8">
        <f t="shared" si="74"/>
        <v>250912952.65999997</v>
      </c>
      <c r="AF98" s="8">
        <f t="shared" si="74"/>
        <v>-17710863.424162395</v>
      </c>
      <c r="AG98" s="8">
        <f t="shared" si="74"/>
        <v>194741089.23583761</v>
      </c>
      <c r="AH98" s="8">
        <f t="shared" si="74"/>
        <v>200526555.69999999</v>
      </c>
      <c r="AI98" s="8">
        <f t="shared" si="74"/>
        <v>-5785466.4641623916</v>
      </c>
      <c r="AJ98" s="8">
        <f t="shared" si="74"/>
        <v>0</v>
      </c>
      <c r="AK98" s="8">
        <f t="shared" si="74"/>
        <v>0</v>
      </c>
      <c r="AL98" s="8">
        <f t="shared" si="74"/>
        <v>0</v>
      </c>
      <c r="AM98" s="8">
        <f t="shared" si="74"/>
        <v>3823937686.0693283</v>
      </c>
      <c r="AN98" s="8">
        <f t="shared" si="74"/>
        <v>1997903831.3915</v>
      </c>
      <c r="AO98" s="8">
        <f t="shared" si="74"/>
        <v>1826033854.6778286</v>
      </c>
      <c r="AP98" s="31">
        <f>+AO98/AM98</f>
        <v>0.47752709499689333</v>
      </c>
      <c r="AQ98" s="34">
        <f t="shared" si="70"/>
        <v>-2.8032809495925903E-7</v>
      </c>
      <c r="AR98" s="51">
        <f>+AI98/AG98*100</f>
        <v>-2.9708504182987339</v>
      </c>
      <c r="AS98" s="2"/>
      <c r="AU98" s="2"/>
    </row>
    <row r="99" spans="1:53" s="1" customFormat="1" x14ac:dyDescent="0.25">
      <c r="A99" s="12" t="s">
        <v>62</v>
      </c>
      <c r="B99" s="15">
        <f t="shared" ref="B99:AO99" si="75">+B98+B36+B28</f>
        <v>9565112976.7940598</v>
      </c>
      <c r="C99" s="15">
        <f t="shared" si="75"/>
        <v>594304604.70405233</v>
      </c>
      <c r="D99" s="15">
        <f t="shared" si="75"/>
        <v>339307498</v>
      </c>
      <c r="E99" s="15">
        <f t="shared" si="75"/>
        <v>254997106.70405236</v>
      </c>
      <c r="F99" s="15">
        <f t="shared" si="75"/>
        <v>689168746.70405233</v>
      </c>
      <c r="G99" s="15">
        <f t="shared" si="75"/>
        <v>347820769.82999998</v>
      </c>
      <c r="H99" s="15">
        <f t="shared" si="75"/>
        <v>341347976.87405235</v>
      </c>
      <c r="I99" s="15">
        <f t="shared" si="75"/>
        <v>364584071.48971903</v>
      </c>
      <c r="J99" s="15">
        <f t="shared" si="75"/>
        <v>311281642.25</v>
      </c>
      <c r="K99" s="15">
        <f t="shared" si="75"/>
        <v>53302429.239719026</v>
      </c>
      <c r="L99" s="15">
        <f t="shared" si="75"/>
        <v>570019204.65638578</v>
      </c>
      <c r="M99" s="15">
        <f t="shared" si="75"/>
        <v>530357898.14999998</v>
      </c>
      <c r="N99" s="15">
        <f t="shared" si="75"/>
        <v>39661306.506385669</v>
      </c>
      <c r="O99" s="15">
        <f t="shared" si="75"/>
        <v>748628004.65638566</v>
      </c>
      <c r="P99" s="15">
        <f t="shared" si="75"/>
        <v>576853934</v>
      </c>
      <c r="Q99" s="15">
        <f t="shared" si="75"/>
        <v>171774070.65638569</v>
      </c>
      <c r="R99" s="15">
        <f t="shared" si="75"/>
        <v>731130404.65638566</v>
      </c>
      <c r="S99" s="15">
        <f t="shared" si="75"/>
        <v>487152990.28149998</v>
      </c>
      <c r="T99" s="15">
        <f t="shared" si="75"/>
        <v>243977414.37488568</v>
      </c>
      <c r="U99" s="15">
        <f t="shared" si="75"/>
        <v>907020922.65638566</v>
      </c>
      <c r="V99" s="15">
        <f t="shared" si="75"/>
        <v>526271592.19999999</v>
      </c>
      <c r="W99" s="15">
        <f t="shared" si="75"/>
        <v>380749330.45638573</v>
      </c>
      <c r="X99" s="15">
        <f t="shared" si="75"/>
        <v>791015804.65994072</v>
      </c>
      <c r="Y99" s="15">
        <f t="shared" si="75"/>
        <v>590461941.54999995</v>
      </c>
      <c r="Z99" s="15">
        <f t="shared" si="75"/>
        <v>200553863.10994071</v>
      </c>
      <c r="AA99" s="15">
        <f t="shared" si="75"/>
        <v>1861451304.6599405</v>
      </c>
      <c r="AB99" s="15">
        <f t="shared" si="75"/>
        <v>537022097</v>
      </c>
      <c r="AC99" s="15">
        <f t="shared" si="75"/>
        <v>1324429207.6599405</v>
      </c>
      <c r="AD99" s="15">
        <f t="shared" si="75"/>
        <v>831989212.65994072</v>
      </c>
      <c r="AE99" s="15">
        <f t="shared" si="75"/>
        <v>689722914.56999993</v>
      </c>
      <c r="AF99" s="15">
        <f t="shared" si="75"/>
        <v>142266298.0899407</v>
      </c>
      <c r="AG99" s="15">
        <f t="shared" si="75"/>
        <v>793219394.23094082</v>
      </c>
      <c r="AH99" s="15">
        <f t="shared" si="75"/>
        <v>602362875.70000005</v>
      </c>
      <c r="AI99" s="15">
        <f t="shared" si="75"/>
        <v>190856518.53094071</v>
      </c>
      <c r="AJ99" s="15">
        <f t="shared" si="75"/>
        <v>0</v>
      </c>
      <c r="AK99" s="15">
        <f t="shared" si="75"/>
        <v>0</v>
      </c>
      <c r="AL99" s="15">
        <f t="shared" si="75"/>
        <v>0</v>
      </c>
      <c r="AM99" s="15">
        <f t="shared" si="75"/>
        <v>8882531675.734129</v>
      </c>
      <c r="AN99" s="15">
        <f t="shared" si="75"/>
        <v>5538616153.5314999</v>
      </c>
      <c r="AO99" s="15">
        <f t="shared" si="75"/>
        <v>3343915522.2026291</v>
      </c>
      <c r="AP99" s="31">
        <f>+AO99/AM99</f>
        <v>0.37645973516061332</v>
      </c>
      <c r="AQ99" s="34">
        <f t="shared" si="70"/>
        <v>-2.9802322387695313E-7</v>
      </c>
      <c r="AR99" s="51">
        <f>+AI99/AG99*100</f>
        <v>24.061000010720115</v>
      </c>
      <c r="AS99" s="24"/>
      <c r="AT99" s="88"/>
      <c r="AY99" s="79"/>
      <c r="BA99" s="54"/>
    </row>
    <row r="100" spans="1:53" ht="19.5" thickBot="1" x14ac:dyDescent="0.3">
      <c r="A100" s="13" t="s">
        <v>0</v>
      </c>
      <c r="B100" s="9">
        <f t="shared" ref="B100:AO100" si="76">+B16-B99</f>
        <v>2.460479736328125E-4</v>
      </c>
      <c r="C100" s="9">
        <f t="shared" si="76"/>
        <v>-418782888.01425302</v>
      </c>
      <c r="D100" s="9">
        <f t="shared" si="76"/>
        <v>-191301406.81999999</v>
      </c>
      <c r="E100" s="9">
        <f t="shared" si="76"/>
        <v>-227481481.19425303</v>
      </c>
      <c r="F100" s="9">
        <f t="shared" si="76"/>
        <v>-507158459.13425303</v>
      </c>
      <c r="G100" s="9">
        <f t="shared" si="76"/>
        <v>-223242670.89999998</v>
      </c>
      <c r="H100" s="9">
        <f t="shared" si="76"/>
        <v>-283915788.23425299</v>
      </c>
      <c r="I100" s="9">
        <f t="shared" si="76"/>
        <v>2323914786.9600806</v>
      </c>
      <c r="J100" s="9">
        <f t="shared" si="76"/>
        <v>2311230443.3899999</v>
      </c>
      <c r="K100" s="9">
        <f t="shared" si="76"/>
        <v>12684343.570080318</v>
      </c>
      <c r="L100" s="9">
        <f t="shared" si="76"/>
        <v>-375031775.32658648</v>
      </c>
      <c r="M100" s="9">
        <f t="shared" si="76"/>
        <v>-367112170.51999998</v>
      </c>
      <c r="N100" s="9">
        <f t="shared" si="76"/>
        <v>-7919604.8065863252</v>
      </c>
      <c r="O100" s="9">
        <f t="shared" si="76"/>
        <v>-547152004.44658637</v>
      </c>
      <c r="P100" s="9">
        <f t="shared" si="76"/>
        <v>-384184537.78999996</v>
      </c>
      <c r="Q100" s="9">
        <f t="shared" si="76"/>
        <v>-162967466.65658635</v>
      </c>
      <c r="R100" s="9">
        <f t="shared" si="76"/>
        <v>-523165833.56658638</v>
      </c>
      <c r="S100" s="9">
        <f t="shared" si="76"/>
        <v>-361685274.67149997</v>
      </c>
      <c r="T100" s="9">
        <f t="shared" si="76"/>
        <v>-161480558.89508632</v>
      </c>
      <c r="U100" s="9">
        <f t="shared" si="76"/>
        <v>3896320010.1134138</v>
      </c>
      <c r="V100" s="9">
        <f t="shared" si="76"/>
        <v>-373306838.88999999</v>
      </c>
      <c r="W100" s="9">
        <f t="shared" si="76"/>
        <v>4269626849.0034142</v>
      </c>
      <c r="X100" s="9">
        <f t="shared" si="76"/>
        <v>-568753168.52331054</v>
      </c>
      <c r="Y100" s="9">
        <f t="shared" si="76"/>
        <v>-402185756.71999997</v>
      </c>
      <c r="Z100" s="9">
        <f t="shared" si="76"/>
        <v>-166567411.80331057</v>
      </c>
      <c r="AA100" s="9">
        <f t="shared" si="76"/>
        <v>-1639188668.5233104</v>
      </c>
      <c r="AB100" s="9">
        <f t="shared" si="76"/>
        <v>-370083478.93000001</v>
      </c>
      <c r="AC100" s="9">
        <f t="shared" si="76"/>
        <v>-1269105189.5933104</v>
      </c>
      <c r="AD100" s="9">
        <f t="shared" si="76"/>
        <v>-609726576.52331054</v>
      </c>
      <c r="AE100" s="9">
        <f t="shared" si="76"/>
        <v>-564914907.69999993</v>
      </c>
      <c r="AF100" s="9">
        <f t="shared" si="76"/>
        <v>-44811668.823310554</v>
      </c>
      <c r="AG100" s="9">
        <f t="shared" si="76"/>
        <v>-570956758.09431064</v>
      </c>
      <c r="AH100" s="9">
        <f t="shared" si="76"/>
        <v>-385356483.74000007</v>
      </c>
      <c r="AI100" s="9">
        <f t="shared" si="76"/>
        <v>-185600274.35431057</v>
      </c>
      <c r="AJ100" s="9">
        <f t="shared" si="76"/>
        <v>0</v>
      </c>
      <c r="AK100" s="9">
        <f t="shared" si="76"/>
        <v>0</v>
      </c>
      <c r="AL100" s="9">
        <f t="shared" si="76"/>
        <v>0</v>
      </c>
      <c r="AM100" s="9">
        <f t="shared" si="76"/>
        <v>460318664.92098618</v>
      </c>
      <c r="AN100" s="9">
        <f t="shared" si="76"/>
        <v>-1312143083.2915001</v>
      </c>
      <c r="AO100" s="9">
        <f t="shared" si="76"/>
        <v>1772461748.2124872</v>
      </c>
      <c r="AP100" s="32">
        <f>+AO100/AM100</f>
        <v>3.8505102731750638</v>
      </c>
      <c r="AQ100" s="34">
        <f t="shared" si="70"/>
        <v>6.5565109252929688E-7</v>
      </c>
      <c r="AR100" s="51"/>
      <c r="AS100" s="2"/>
      <c r="BA100" s="55"/>
    </row>
    <row r="101" spans="1:53" x14ac:dyDescent="0.25">
      <c r="B101" s="2">
        <f>+B99-'202401anual'!B144</f>
        <v>0</v>
      </c>
      <c r="C101" s="3">
        <f>+C99</f>
        <v>594304604.70405233</v>
      </c>
      <c r="D101" s="2"/>
      <c r="F101" s="2">
        <f>+F99+C101</f>
        <v>1283473351.4081047</v>
      </c>
      <c r="G101" s="40"/>
      <c r="H101" s="40"/>
      <c r="I101" s="2">
        <f>+I99+F101</f>
        <v>1648057422.8978238</v>
      </c>
      <c r="J101" s="2"/>
      <c r="K101" s="2"/>
      <c r="L101" s="2">
        <f>+L99+I101</f>
        <v>2218076627.5542097</v>
      </c>
      <c r="O101" s="2">
        <f>+O99+L101</f>
        <v>2966704632.2105951</v>
      </c>
      <c r="P101" s="2"/>
      <c r="R101" s="2">
        <f>+R99+O101</f>
        <v>3697835036.8669806</v>
      </c>
      <c r="S101" s="2"/>
      <c r="T101" s="2"/>
      <c r="U101" s="2">
        <f>+U99+R101</f>
        <v>4604855959.523366</v>
      </c>
      <c r="V101" s="2"/>
      <c r="X101" s="2">
        <f>+X99+U101</f>
        <v>5395871764.1833067</v>
      </c>
      <c r="Y101" s="2"/>
      <c r="AA101" s="2">
        <f>+AA99+X101</f>
        <v>7257323068.8432474</v>
      </c>
      <c r="AB101" s="2"/>
      <c r="AC101" s="2"/>
      <c r="AD101" s="2"/>
      <c r="AE101" s="2"/>
      <c r="AF101" s="2"/>
      <c r="AG101" s="2"/>
      <c r="AH101" s="2"/>
      <c r="AI101" s="2"/>
      <c r="AO101" s="24"/>
      <c r="AQ101" s="34">
        <f t="shared" si="70"/>
        <v>0</v>
      </c>
      <c r="AR101" s="51"/>
      <c r="AS101" s="2"/>
    </row>
    <row r="102" spans="1:53" x14ac:dyDescent="0.25">
      <c r="C102" s="2"/>
      <c r="D102" s="2"/>
      <c r="F102" s="2"/>
      <c r="G102" s="40"/>
      <c r="H102" s="40"/>
      <c r="I102" s="2"/>
      <c r="J102" s="2"/>
      <c r="K102" s="2"/>
      <c r="L102" s="2"/>
      <c r="O102" s="2"/>
      <c r="R102" s="2"/>
      <c r="S102" s="2"/>
      <c r="T102" s="2"/>
      <c r="U102" s="2"/>
      <c r="V102" s="2"/>
      <c r="X102" s="2"/>
      <c r="Y102" s="2"/>
      <c r="AA102" s="2"/>
      <c r="AB102" s="2"/>
      <c r="AC102" s="2"/>
      <c r="AD102" s="2"/>
      <c r="AE102" s="2"/>
      <c r="AF102" s="2"/>
      <c r="AG102" s="2"/>
      <c r="AH102" s="2"/>
      <c r="AI102" s="2"/>
      <c r="AM102" s="2"/>
      <c r="AN102" s="2"/>
      <c r="AO102" s="24"/>
      <c r="AQ102" s="34">
        <f t="shared" si="70"/>
        <v>0</v>
      </c>
      <c r="AR102" s="51"/>
      <c r="AS102" s="2"/>
    </row>
    <row r="103" spans="1:53" ht="15.75" customHeight="1" x14ac:dyDescent="0.25">
      <c r="G103" s="35"/>
      <c r="H103" s="35"/>
      <c r="I103" s="2"/>
      <c r="J103" s="2"/>
      <c r="K103" s="2"/>
      <c r="O103" s="2"/>
      <c r="P103" s="24"/>
      <c r="R103" s="2"/>
      <c r="S103" s="2"/>
      <c r="T103" s="2"/>
      <c r="U103" s="2"/>
      <c r="V103" s="2"/>
      <c r="X103" s="2"/>
      <c r="Y103" s="2"/>
      <c r="Z103" s="2"/>
      <c r="AA103" s="2"/>
      <c r="AM103" s="2">
        <f>+C99+F99+I99+L99++O99+R99+U99+X99+AA99+AD99+AG99</f>
        <v>8882531675.734129</v>
      </c>
      <c r="AN103" s="2">
        <f>+D99+G99+J99+M99+P99+S99+V99+Y99+AB99+AE99+AH99</f>
        <v>5538616153.5314989</v>
      </c>
      <c r="AO103" s="2">
        <f>+E99+H99+K99+N99+Q99+T99+W99+Z99+AC99+AF99+AI99</f>
        <v>3343915522.2026286</v>
      </c>
      <c r="AQ103" s="34">
        <f t="shared" si="70"/>
        <v>-3343915522.2026286</v>
      </c>
      <c r="AR103" s="2"/>
      <c r="AS103" s="2"/>
      <c r="AT103" s="20"/>
      <c r="AV103" s="2"/>
    </row>
    <row r="104" spans="1:53" x14ac:dyDescent="0.25">
      <c r="B104" s="2"/>
      <c r="C104" s="2"/>
      <c r="I104" s="2"/>
      <c r="J104" s="2"/>
      <c r="K104" s="2"/>
      <c r="O104" s="2"/>
      <c r="Q104" s="2"/>
      <c r="R104" s="2"/>
      <c r="S104" s="2"/>
      <c r="T104" s="2"/>
      <c r="U104" s="2"/>
      <c r="V104" s="2"/>
      <c r="X104" s="2"/>
      <c r="Y104" s="2"/>
      <c r="Z104" s="2"/>
      <c r="AM104" s="2">
        <f>+'202401anual'!B144</f>
        <v>9565112976.7940598</v>
      </c>
      <c r="AN104" s="2"/>
      <c r="AO104" s="2">
        <f>+AO103-AO99</f>
        <v>0</v>
      </c>
      <c r="AQ104" s="34">
        <f t="shared" si="70"/>
        <v>0</v>
      </c>
      <c r="AR104" s="47"/>
      <c r="AS104" s="2"/>
      <c r="AT104" s="20"/>
      <c r="AV104" s="2"/>
    </row>
    <row r="105" spans="1:53" x14ac:dyDescent="0.25">
      <c r="B105" s="2"/>
      <c r="C105" s="2"/>
      <c r="F105" s="2"/>
      <c r="I105" s="2"/>
      <c r="L105" s="2"/>
      <c r="O105" s="2"/>
      <c r="R105" s="2"/>
      <c r="U105" s="2">
        <f>+U100-'202401anual'!I145</f>
        <v>0</v>
      </c>
      <c r="X105" s="2"/>
      <c r="Y105" s="2"/>
      <c r="Z105" s="2"/>
      <c r="AA105" s="2"/>
      <c r="AD105" s="2"/>
      <c r="AG105" s="2"/>
      <c r="AM105" s="2"/>
      <c r="AN105" s="2"/>
      <c r="AO105" s="3"/>
      <c r="AQ105" s="34">
        <f t="shared" si="70"/>
        <v>0</v>
      </c>
      <c r="AR105" s="2"/>
      <c r="AS105" s="2"/>
      <c r="AT105" s="20"/>
    </row>
    <row r="106" spans="1:53" x14ac:dyDescent="0.25">
      <c r="O106" s="3"/>
      <c r="U106" s="2">
        <f>+U99-'202401anual'!I144</f>
        <v>0</v>
      </c>
      <c r="X106" s="2"/>
      <c r="Y106" s="2"/>
      <c r="Z106" s="2"/>
      <c r="AD106" s="2"/>
      <c r="AM106" s="2"/>
      <c r="AN106" s="2"/>
      <c r="AO106" s="2"/>
      <c r="AQ106" s="34">
        <f t="shared" si="70"/>
        <v>0</v>
      </c>
      <c r="AS106" s="2"/>
      <c r="AT106" s="20"/>
      <c r="AU106" s="2"/>
    </row>
    <row r="107" spans="1:53" x14ac:dyDescent="0.25">
      <c r="B107" s="2"/>
      <c r="X107" s="2"/>
      <c r="Y107" s="2"/>
      <c r="Z107" s="2"/>
      <c r="AA107" s="2"/>
      <c r="AM107" s="2"/>
      <c r="AN107" s="2"/>
      <c r="AO107" s="2"/>
      <c r="AQ107" s="34">
        <f t="shared" si="70"/>
        <v>0</v>
      </c>
      <c r="AS107" s="2"/>
      <c r="AT107" s="2"/>
    </row>
    <row r="108" spans="1:53" x14ac:dyDescent="0.25">
      <c r="D108" s="2"/>
      <c r="E108" s="2"/>
      <c r="F108" s="2"/>
      <c r="X108" s="2"/>
      <c r="Y108" s="2"/>
      <c r="Z108" s="2"/>
      <c r="AM108" s="2"/>
      <c r="AN108" s="2"/>
      <c r="AO108" s="3"/>
      <c r="AQ108" s="34">
        <f t="shared" si="70"/>
        <v>0</v>
      </c>
      <c r="AS108" s="2"/>
      <c r="AT108" s="2"/>
    </row>
    <row r="109" spans="1:53" x14ac:dyDescent="0.25">
      <c r="C109" s="3"/>
      <c r="D109" s="3"/>
      <c r="E109" s="42"/>
      <c r="AN109" s="2"/>
      <c r="AO109" s="24"/>
      <c r="AQ109" s="34">
        <f t="shared" si="70"/>
        <v>0</v>
      </c>
      <c r="AS109" s="2"/>
    </row>
    <row r="110" spans="1:53" hidden="1" x14ac:dyDescent="0.25">
      <c r="D110" s="2"/>
      <c r="AA110" s="112" t="s">
        <v>118</v>
      </c>
      <c r="AB110" s="112"/>
      <c r="AC110" s="112"/>
      <c r="AD110" s="112"/>
      <c r="AE110" s="112"/>
      <c r="AF110" s="112"/>
      <c r="AG110" s="112"/>
      <c r="AH110" s="112"/>
      <c r="AI110" s="112"/>
      <c r="AJ110" s="112"/>
      <c r="AN110" s="2"/>
      <c r="AQ110" s="34">
        <f t="shared" si="70"/>
        <v>0</v>
      </c>
      <c r="AS110" s="2"/>
    </row>
    <row r="111" spans="1:53" hidden="1" x14ac:dyDescent="0.25">
      <c r="Y111" s="24"/>
      <c r="AA111" s="113" t="s">
        <v>119</v>
      </c>
      <c r="AB111" s="113"/>
      <c r="AC111" s="113"/>
      <c r="AD111" s="113"/>
      <c r="AE111" s="113"/>
      <c r="AF111" s="113"/>
      <c r="AG111" s="112"/>
      <c r="AH111" s="112"/>
      <c r="AI111" s="112"/>
      <c r="AJ111" s="112"/>
      <c r="AM111" s="20"/>
      <c r="AQ111" s="34">
        <f t="shared" si="70"/>
        <v>0</v>
      </c>
      <c r="AS111" s="2"/>
    </row>
    <row r="112" spans="1:53" hidden="1" x14ac:dyDescent="0.25">
      <c r="D112" s="2"/>
      <c r="Y112" s="24"/>
      <c r="AA112" s="135" t="s">
        <v>120</v>
      </c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53"/>
      <c r="AL112" s="53"/>
      <c r="AM112" s="20"/>
      <c r="AQ112" s="34">
        <f t="shared" si="70"/>
        <v>0</v>
      </c>
      <c r="AS112" s="2"/>
    </row>
    <row r="113" spans="1:45" hidden="1" x14ac:dyDescent="0.25">
      <c r="A113" s="112" t="s">
        <v>202</v>
      </c>
      <c r="AA113" s="112" t="s">
        <v>121</v>
      </c>
      <c r="AB113" s="112"/>
      <c r="AC113" s="112"/>
      <c r="AD113" s="112"/>
      <c r="AE113" s="112"/>
      <c r="AF113" s="112"/>
      <c r="AG113" s="112"/>
      <c r="AH113" s="112"/>
      <c r="AI113" s="112"/>
      <c r="AJ113" s="112"/>
      <c r="AM113" s="20"/>
      <c r="AN113" s="2"/>
      <c r="AQ113" s="34">
        <f t="shared" si="70"/>
        <v>0</v>
      </c>
      <c r="AS113" s="2"/>
    </row>
    <row r="114" spans="1:45" hidden="1" x14ac:dyDescent="0.25">
      <c r="AA114" s="112" t="s">
        <v>111</v>
      </c>
      <c r="AB114" s="112"/>
      <c r="AC114" s="112"/>
      <c r="AD114" s="112"/>
      <c r="AE114" s="112"/>
      <c r="AF114" s="112"/>
      <c r="AG114" s="112"/>
      <c r="AH114" s="112"/>
      <c r="AI114" s="112"/>
      <c r="AJ114" s="112"/>
      <c r="AM114" s="2"/>
      <c r="AQ114" s="34">
        <f t="shared" si="70"/>
        <v>0</v>
      </c>
    </row>
    <row r="115" spans="1:45" hidden="1" x14ac:dyDescent="0.25">
      <c r="AQ115" s="34">
        <f t="shared" si="70"/>
        <v>0</v>
      </c>
    </row>
    <row r="116" spans="1:45" hidden="1" x14ac:dyDescent="0.25">
      <c r="P116" s="2"/>
      <c r="AM116" s="2"/>
      <c r="AQ116" s="34">
        <f t="shared" si="70"/>
        <v>0</v>
      </c>
    </row>
    <row r="117" spans="1:45" hidden="1" x14ac:dyDescent="0.25">
      <c r="AM117" s="2"/>
      <c r="AQ117" s="34">
        <f t="shared" si="70"/>
        <v>0</v>
      </c>
    </row>
    <row r="118" spans="1:45" hidden="1" x14ac:dyDescent="0.25">
      <c r="AQ118" s="34">
        <f t="shared" si="70"/>
        <v>0</v>
      </c>
    </row>
    <row r="119" spans="1:45" hidden="1" x14ac:dyDescent="0.25">
      <c r="AQ119" s="34">
        <f t="shared" si="70"/>
        <v>0</v>
      </c>
    </row>
    <row r="120" spans="1:45" x14ac:dyDescent="0.25">
      <c r="AN120" s="2"/>
      <c r="AQ120" s="34">
        <f t="shared" si="70"/>
        <v>0</v>
      </c>
    </row>
    <row r="121" spans="1:45" x14ac:dyDescent="0.25">
      <c r="AN121" s="2"/>
      <c r="AQ121" s="34">
        <f t="shared" si="70"/>
        <v>0</v>
      </c>
    </row>
    <row r="122" spans="1:45" x14ac:dyDescent="0.25">
      <c r="AQ122" s="34">
        <f t="shared" si="70"/>
        <v>0</v>
      </c>
    </row>
    <row r="123" spans="1:45" x14ac:dyDescent="0.25">
      <c r="AQ123" s="34">
        <f t="shared" si="70"/>
        <v>0</v>
      </c>
    </row>
    <row r="124" spans="1:45" x14ac:dyDescent="0.25">
      <c r="AQ124" s="34">
        <f t="shared" si="70"/>
        <v>0</v>
      </c>
    </row>
    <row r="125" spans="1:45" x14ac:dyDescent="0.25">
      <c r="AM125" s="24"/>
      <c r="AQ125" s="34">
        <f t="shared" si="70"/>
        <v>0</v>
      </c>
    </row>
    <row r="126" spans="1:45" x14ac:dyDescent="0.25">
      <c r="AQ126" s="34">
        <f t="shared" si="70"/>
        <v>0</v>
      </c>
    </row>
    <row r="127" spans="1:45" x14ac:dyDescent="0.25">
      <c r="AQ127" s="34">
        <f t="shared" si="70"/>
        <v>0</v>
      </c>
    </row>
    <row r="128" spans="1:45" x14ac:dyDescent="0.25">
      <c r="AQ128" s="34">
        <f t="shared" si="70"/>
        <v>0</v>
      </c>
    </row>
    <row r="129" spans="33:43" x14ac:dyDescent="0.25">
      <c r="AQ129" s="34">
        <f t="shared" si="70"/>
        <v>0</v>
      </c>
    </row>
    <row r="130" spans="33:43" x14ac:dyDescent="0.25">
      <c r="AG130" s="2"/>
    </row>
    <row r="131" spans="33:43" x14ac:dyDescent="0.25">
      <c r="AG131" s="2"/>
    </row>
  </sheetData>
  <autoFilter ref="A5:AP100" xr:uid="{4C861BE8-7E5D-4966-A65F-7599F5FEBCAA}"/>
  <mergeCells count="16">
    <mergeCell ref="AA112:AJ112"/>
    <mergeCell ref="X4:Z4"/>
    <mergeCell ref="A1:C1"/>
    <mergeCell ref="A3:AP3"/>
    <mergeCell ref="C4:E4"/>
    <mergeCell ref="F4:H4"/>
    <mergeCell ref="AM4:AP4"/>
    <mergeCell ref="I4:K4"/>
    <mergeCell ref="L4:N4"/>
    <mergeCell ref="O4:Q4"/>
    <mergeCell ref="R4:T4"/>
    <mergeCell ref="U4:W4"/>
    <mergeCell ref="AA4:AC4"/>
    <mergeCell ref="AD4:AF4"/>
    <mergeCell ref="AG4:AI4"/>
    <mergeCell ref="AJ4:AL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56F0-7CB0-4EF8-A7FC-233F8338F952}">
  <dimension ref="A1:AD101"/>
  <sheetViews>
    <sheetView showGridLines="0" zoomScale="86" zoomScaleNormal="86" workbookViewId="0">
      <pane xSplit="1" ySplit="5" topLeftCell="B83" activePane="bottomRight" state="frozen"/>
      <selection pane="topRight" activeCell="B1" sqref="B1"/>
      <selection pane="bottomLeft" activeCell="A5" sqref="A5"/>
      <selection pane="bottomRight" activeCell="P28" sqref="P28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5" width="15.5703125" customWidth="1"/>
    <col min="6" max="6" width="16.7109375" hidden="1" customWidth="1"/>
    <col min="7" max="10" width="16.140625" hidden="1" customWidth="1"/>
    <col min="11" max="14" width="16.7109375" hidden="1" customWidth="1"/>
    <col min="15" max="15" width="16.140625" hidden="1" customWidth="1"/>
    <col min="16" max="17" width="16.140625" customWidth="1"/>
    <col min="18" max="18" width="18.42578125" bestFit="1" customWidth="1"/>
    <col min="19" max="19" width="9.5703125" bestFit="1" customWidth="1"/>
    <col min="20" max="20" width="18.42578125" bestFit="1" customWidth="1"/>
    <col min="21" max="21" width="15.85546875" bestFit="1" customWidth="1"/>
    <col min="22" max="22" width="15.85546875" customWidth="1"/>
    <col min="23" max="23" width="15.5703125" customWidth="1"/>
    <col min="24" max="24" width="17.28515625" customWidth="1"/>
    <col min="25" max="25" width="18.42578125" customWidth="1"/>
    <col min="26" max="28" width="15.5703125" customWidth="1"/>
    <col min="29" max="30" width="14" customWidth="1"/>
    <col min="31" max="31" width="11.42578125" customWidth="1"/>
  </cols>
  <sheetData>
    <row r="1" spans="1:30" x14ac:dyDescent="0.25">
      <c r="A1" s="127" t="s">
        <v>51</v>
      </c>
      <c r="B1" s="127"/>
      <c r="C1" s="127"/>
      <c r="D1" s="14"/>
      <c r="E1" s="14"/>
    </row>
    <row r="2" spans="1:30" x14ac:dyDescent="0.25">
      <c r="A2" s="14"/>
      <c r="B2" s="14"/>
      <c r="C2" s="14"/>
      <c r="D2" s="14"/>
      <c r="E2" s="14"/>
    </row>
    <row r="3" spans="1:30" ht="15.75" thickBot="1" x14ac:dyDescent="0.3">
      <c r="A3" s="128" t="s">
        <v>64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23"/>
      <c r="U3" s="23"/>
      <c r="V3" s="23"/>
    </row>
    <row r="4" spans="1:30" ht="15.75" thickBot="1" x14ac:dyDescent="0.3">
      <c r="A4" s="23"/>
      <c r="B4" s="23"/>
      <c r="C4" s="129" t="s">
        <v>105</v>
      </c>
      <c r="D4" s="130"/>
      <c r="E4" s="131"/>
      <c r="F4" s="23"/>
      <c r="G4" s="23"/>
      <c r="H4" s="23"/>
      <c r="I4" s="23"/>
      <c r="J4" s="23"/>
      <c r="K4" s="23"/>
      <c r="L4" s="23"/>
      <c r="M4" s="23"/>
      <c r="N4" s="23"/>
      <c r="O4" s="23"/>
      <c r="P4" s="132" t="s">
        <v>48</v>
      </c>
      <c r="Q4" s="133"/>
      <c r="R4" s="133"/>
      <c r="S4" s="134"/>
      <c r="T4" s="23"/>
      <c r="U4" s="23"/>
      <c r="V4" s="23"/>
    </row>
    <row r="5" spans="1:30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42</v>
      </c>
      <c r="G5" s="17" t="s">
        <v>43</v>
      </c>
      <c r="H5" s="17" t="s">
        <v>44</v>
      </c>
      <c r="I5" s="17" t="s">
        <v>6</v>
      </c>
      <c r="J5" s="17" t="s">
        <v>5</v>
      </c>
      <c r="K5" s="17" t="s">
        <v>45</v>
      </c>
      <c r="L5" s="17" t="s">
        <v>46</v>
      </c>
      <c r="M5" s="17" t="s">
        <v>47</v>
      </c>
      <c r="N5" s="17" t="s">
        <v>4</v>
      </c>
      <c r="O5" s="17" t="s">
        <v>3</v>
      </c>
      <c r="P5" s="28" t="s">
        <v>102</v>
      </c>
      <c r="Q5" s="28" t="s">
        <v>103</v>
      </c>
      <c r="R5" s="28" t="s">
        <v>104</v>
      </c>
      <c r="S5" s="18" t="s">
        <v>49</v>
      </c>
      <c r="T5" s="33"/>
      <c r="U5" s="33"/>
      <c r="V5" s="33"/>
    </row>
    <row r="6" spans="1:30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>
        <f t="shared" ref="P6:R11" si="0">+C6</f>
        <v>0</v>
      </c>
      <c r="Q6" s="4">
        <f t="shared" si="0"/>
        <v>0</v>
      </c>
      <c r="R6" s="6">
        <f t="shared" si="0"/>
        <v>0</v>
      </c>
      <c r="S6" s="29">
        <v>0</v>
      </c>
      <c r="T6" s="34"/>
      <c r="U6" s="34"/>
      <c r="V6" s="34"/>
      <c r="W6" s="2"/>
      <c r="X6" s="2"/>
    </row>
    <row r="7" spans="1:30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1">+C7-D7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0</v>
      </c>
      <c r="Q7" s="4">
        <f t="shared" si="0"/>
        <v>0</v>
      </c>
      <c r="R7" s="6">
        <f t="shared" si="0"/>
        <v>0</v>
      </c>
      <c r="S7" s="29">
        <v>0</v>
      </c>
      <c r="T7" s="34"/>
      <c r="U7" s="34"/>
      <c r="V7" s="34"/>
      <c r="W7" s="2"/>
      <c r="X7" s="2"/>
    </row>
    <row r="8" spans="1:30" x14ac:dyDescent="0.25">
      <c r="A8" s="5" t="s">
        <v>96</v>
      </c>
      <c r="B8" s="4">
        <v>1460371848</v>
      </c>
      <c r="C8" s="4">
        <v>0</v>
      </c>
      <c r="D8" s="4">
        <v>0</v>
      </c>
      <c r="E8" s="4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>
        <f t="shared" si="0"/>
        <v>0</v>
      </c>
      <c r="R8" s="6">
        <f t="shared" si="0"/>
        <v>0</v>
      </c>
      <c r="S8" s="29">
        <v>0</v>
      </c>
      <c r="T8" s="34"/>
      <c r="U8" s="34"/>
      <c r="V8" s="34"/>
      <c r="W8" s="2"/>
      <c r="X8" s="2"/>
    </row>
    <row r="9" spans="1:30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1"/>
        <v>-3018397.3100000024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32000000</v>
      </c>
      <c r="Q9" s="4">
        <f t="shared" si="0"/>
        <v>35018397.310000002</v>
      </c>
      <c r="R9" s="6">
        <f t="shared" si="0"/>
        <v>-3018397.3100000024</v>
      </c>
      <c r="S9" s="43">
        <f>+R9/P9*100</f>
        <v>-9.432491593750008</v>
      </c>
      <c r="T9" s="34"/>
      <c r="U9" s="34"/>
      <c r="V9" s="34"/>
      <c r="W9" s="2"/>
      <c r="X9" s="2"/>
    </row>
    <row r="10" spans="1:30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  <c r="Q10" s="4">
        <f t="shared" si="0"/>
        <v>0</v>
      </c>
      <c r="R10" s="6">
        <f t="shared" si="0"/>
        <v>0</v>
      </c>
      <c r="S10" s="30" t="e">
        <f>+R10/P10*100</f>
        <v>#DIV/0!</v>
      </c>
      <c r="T10" s="34"/>
      <c r="U10" s="34"/>
      <c r="V10" s="34"/>
      <c r="W10" s="2"/>
      <c r="X10" s="2"/>
    </row>
    <row r="11" spans="1:30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1"/>
        <v>348992350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0"/>
        <v>348992350</v>
      </c>
      <c r="Q11" s="4">
        <f t="shared" si="0"/>
        <v>0</v>
      </c>
      <c r="R11" s="6">
        <f t="shared" si="0"/>
        <v>348992350</v>
      </c>
      <c r="S11" s="30">
        <f>+R11/P11*100</f>
        <v>100</v>
      </c>
      <c r="T11" s="34"/>
      <c r="U11" s="34"/>
      <c r="V11" s="34"/>
      <c r="W11" s="2"/>
      <c r="X11" s="2"/>
    </row>
    <row r="12" spans="1:30" ht="18.75" x14ac:dyDescent="0.3">
      <c r="A12" s="11" t="s">
        <v>2</v>
      </c>
      <c r="B12" s="7">
        <f>SUM(B6:B11)</f>
        <v>4434002006.0472546</v>
      </c>
      <c r="C12" s="7">
        <f t="shared" ref="C12:R12" si="2">SUM(C6:C11)</f>
        <v>380992350</v>
      </c>
      <c r="D12" s="7">
        <f t="shared" si="2"/>
        <v>35018397.310000002</v>
      </c>
      <c r="E12" s="7">
        <f t="shared" si="2"/>
        <v>345973952.69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380992350</v>
      </c>
      <c r="Q12" s="7">
        <f t="shared" si="2"/>
        <v>35018397.310000002</v>
      </c>
      <c r="R12" s="7">
        <f t="shared" si="2"/>
        <v>345973952.69</v>
      </c>
      <c r="S12" s="31">
        <f>+R12/P12</f>
        <v>0.90808635052646069</v>
      </c>
      <c r="T12" s="34"/>
      <c r="U12" s="35"/>
      <c r="V12" s="35"/>
      <c r="W12" s="2"/>
      <c r="X12" s="2"/>
    </row>
    <row r="13" spans="1:30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1"/>
        <v>-12906933.38986592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ref="P13:R19" si="3">+C13</f>
        <v>73215671.330134079</v>
      </c>
      <c r="Q13" s="4">
        <f t="shared" si="3"/>
        <v>86122604.719999999</v>
      </c>
      <c r="R13" s="6">
        <f t="shared" si="3"/>
        <v>-12906933.38986592</v>
      </c>
      <c r="S13" s="43">
        <f>+R13/P13*100</f>
        <v>-17.628648560316744</v>
      </c>
      <c r="T13" s="34"/>
      <c r="U13" s="36"/>
      <c r="V13" s="36"/>
      <c r="W13" s="2"/>
      <c r="X13" s="2"/>
    </row>
    <row r="14" spans="1:30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1"/>
        <v>7020000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3"/>
        <v>7020000</v>
      </c>
      <c r="Q14" s="4">
        <f t="shared" si="3"/>
        <v>0</v>
      </c>
      <c r="R14" s="6">
        <f t="shared" si="3"/>
        <v>7020000</v>
      </c>
      <c r="S14" s="43">
        <f t="shared" ref="S14:S22" si="4">+R14/P14*100</f>
        <v>100</v>
      </c>
      <c r="T14" s="34"/>
      <c r="U14" s="36"/>
      <c r="V14" s="36"/>
      <c r="W14" s="2"/>
      <c r="X14" s="2"/>
    </row>
    <row r="15" spans="1:30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1"/>
        <v>22793317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3"/>
        <v>27833200</v>
      </c>
      <c r="Q15" s="4">
        <f t="shared" si="3"/>
        <v>5039883</v>
      </c>
      <c r="R15" s="6">
        <f t="shared" si="3"/>
        <v>22793317</v>
      </c>
      <c r="S15" s="43">
        <f t="shared" si="4"/>
        <v>81.892549185864354</v>
      </c>
      <c r="T15" s="34"/>
      <c r="U15" s="36"/>
      <c r="V15" s="36"/>
      <c r="W15" s="2"/>
      <c r="X15" s="37"/>
      <c r="Y15" s="20"/>
      <c r="Z15" s="20"/>
      <c r="AA15" s="20"/>
      <c r="AB15" s="20"/>
      <c r="AC15" s="20"/>
      <c r="AD15" s="20"/>
    </row>
    <row r="16" spans="1:30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1"/>
        <v>365466495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3"/>
        <v>365592350</v>
      </c>
      <c r="Q16" s="4">
        <f t="shared" si="3"/>
        <v>125855</v>
      </c>
      <c r="R16" s="6">
        <f t="shared" si="3"/>
        <v>365466495</v>
      </c>
      <c r="S16" s="43">
        <f t="shared" si="4"/>
        <v>99.965575045539111</v>
      </c>
      <c r="T16" s="34"/>
      <c r="U16" s="36"/>
      <c r="V16" s="2"/>
      <c r="X16" s="37"/>
      <c r="Y16" s="20"/>
      <c r="Z16" s="20"/>
      <c r="AA16" s="20"/>
      <c r="AB16" s="20"/>
      <c r="AC16" s="20"/>
      <c r="AD16" s="20"/>
    </row>
    <row r="17" spans="1:30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3"/>
        <v>0</v>
      </c>
      <c r="Q17" s="4">
        <f t="shared" si="3"/>
        <v>0</v>
      </c>
      <c r="R17" s="6">
        <f t="shared" si="3"/>
        <v>0</v>
      </c>
      <c r="S17" s="43">
        <v>0</v>
      </c>
      <c r="T17" s="34"/>
      <c r="U17" s="36"/>
      <c r="V17" s="36"/>
      <c r="W17" s="2"/>
      <c r="X17" s="37"/>
      <c r="Y17" s="20"/>
      <c r="Z17" s="20"/>
      <c r="AA17" s="20"/>
      <c r="AB17" s="20"/>
      <c r="AC17" s="20"/>
      <c r="AD17" s="20"/>
    </row>
    <row r="18" spans="1:30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1"/>
        <v>48866667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f t="shared" si="3"/>
        <v>48866667</v>
      </c>
      <c r="Q18" s="4">
        <f t="shared" si="3"/>
        <v>0</v>
      </c>
      <c r="R18" s="6">
        <f t="shared" si="3"/>
        <v>48866667</v>
      </c>
      <c r="S18" s="43">
        <f t="shared" si="4"/>
        <v>100</v>
      </c>
      <c r="T18" s="34"/>
      <c r="U18" s="36"/>
      <c r="V18" s="36"/>
      <c r="W18" s="2"/>
      <c r="X18" s="37"/>
      <c r="Y18" s="20"/>
      <c r="Z18" s="20"/>
      <c r="AA18" s="20"/>
      <c r="AB18" s="20"/>
      <c r="AC18" s="20"/>
      <c r="AD18" s="20"/>
    </row>
    <row r="19" spans="1:30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1"/>
        <v>4868448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3"/>
        <v>6650000</v>
      </c>
      <c r="Q19" s="4">
        <f t="shared" si="3"/>
        <v>1781552</v>
      </c>
      <c r="R19" s="6">
        <f t="shared" si="3"/>
        <v>4868448</v>
      </c>
      <c r="S19" s="43">
        <f t="shared" si="4"/>
        <v>73.209744360902249</v>
      </c>
      <c r="T19" s="34"/>
      <c r="U19" s="36"/>
      <c r="V19" s="36"/>
      <c r="W19" s="2"/>
      <c r="X19" s="37"/>
      <c r="Y19" s="20"/>
      <c r="Z19" s="20"/>
      <c r="AA19" s="20"/>
      <c r="AB19" s="20"/>
      <c r="AC19" s="20"/>
      <c r="AD19" s="20"/>
    </row>
    <row r="20" spans="1:30" x14ac:dyDescent="0.25">
      <c r="A20" s="12" t="s">
        <v>13</v>
      </c>
      <c r="B20" s="8">
        <f t="shared" ref="B20:R20" si="5">SUM(B13:B19)</f>
        <v>6428899322</v>
      </c>
      <c r="C20" s="8">
        <f t="shared" si="5"/>
        <v>529177888.33013409</v>
      </c>
      <c r="D20" s="8">
        <f t="shared" si="5"/>
        <v>93069894.719999999</v>
      </c>
      <c r="E20" s="8">
        <f t="shared" si="5"/>
        <v>436107993.61013407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 t="shared" si="5"/>
        <v>0</v>
      </c>
      <c r="N20" s="8">
        <f t="shared" si="5"/>
        <v>0</v>
      </c>
      <c r="O20" s="8">
        <f t="shared" si="5"/>
        <v>0</v>
      </c>
      <c r="P20" s="8">
        <f t="shared" si="5"/>
        <v>529177888.33013409</v>
      </c>
      <c r="Q20" s="8">
        <f t="shared" si="5"/>
        <v>93069894.719999999</v>
      </c>
      <c r="R20" s="8">
        <f t="shared" si="5"/>
        <v>436107993.61013407</v>
      </c>
      <c r="S20" s="31">
        <f>+R20/P20</f>
        <v>0.82412361367991016</v>
      </c>
      <c r="T20" s="34"/>
      <c r="U20" s="35"/>
      <c r="V20" s="35"/>
      <c r="W20" s="2"/>
      <c r="Y20" s="20"/>
      <c r="Z20" s="20"/>
      <c r="AA20" s="20"/>
      <c r="AB20" s="20"/>
    </row>
    <row r="21" spans="1:30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1"/>
        <v>-179887.4234513524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ref="P21:R22" si="6">+C21</f>
        <v>3385583.5765486476</v>
      </c>
      <c r="Q21" s="4">
        <f t="shared" si="6"/>
        <v>3565471</v>
      </c>
      <c r="R21" s="6">
        <f t="shared" si="6"/>
        <v>-179887.4234513524</v>
      </c>
      <c r="S21" s="43">
        <f t="shared" si="4"/>
        <v>-5.3133357775422088</v>
      </c>
      <c r="T21" s="34"/>
      <c r="U21" s="38"/>
      <c r="V21" s="38"/>
      <c r="W21" s="2"/>
      <c r="Y21" s="20"/>
      <c r="Z21" s="20"/>
      <c r="AA21" s="20"/>
      <c r="AB21" s="20"/>
    </row>
    <row r="22" spans="1:30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1"/>
        <v>3218265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6"/>
        <v>3250000</v>
      </c>
      <c r="Q22" s="4">
        <f t="shared" si="6"/>
        <v>31735</v>
      </c>
      <c r="R22" s="6">
        <f t="shared" si="6"/>
        <v>3218265</v>
      </c>
      <c r="S22" s="43">
        <f t="shared" si="4"/>
        <v>99.023538461538465</v>
      </c>
      <c r="T22" s="34"/>
      <c r="U22" s="38"/>
      <c r="V22" s="38"/>
      <c r="W22" s="2"/>
      <c r="Y22" s="20"/>
      <c r="Z22" s="20"/>
      <c r="AA22" s="20"/>
      <c r="AB22" s="20"/>
    </row>
    <row r="23" spans="1:30" x14ac:dyDescent="0.25">
      <c r="A23" s="12" t="s">
        <v>15</v>
      </c>
      <c r="B23" s="8">
        <f t="shared" ref="B23:R23" si="7">SUM(B21:B22)</f>
        <v>58085002</v>
      </c>
      <c r="C23" s="8">
        <f t="shared" si="7"/>
        <v>6635583.5765486471</v>
      </c>
      <c r="D23" s="8">
        <f t="shared" si="7"/>
        <v>3597206</v>
      </c>
      <c r="E23" s="8">
        <f t="shared" si="7"/>
        <v>3038377.5765486476</v>
      </c>
      <c r="F23" s="8">
        <f t="shared" si="7"/>
        <v>0</v>
      </c>
      <c r="G23" s="8">
        <f t="shared" si="7"/>
        <v>0</v>
      </c>
      <c r="H23" s="8">
        <f t="shared" si="7"/>
        <v>0</v>
      </c>
      <c r="I23" s="8">
        <f t="shared" si="7"/>
        <v>0</v>
      </c>
      <c r="J23" s="8">
        <f t="shared" si="7"/>
        <v>0</v>
      </c>
      <c r="K23" s="8">
        <f t="shared" si="7"/>
        <v>0</v>
      </c>
      <c r="L23" s="8">
        <f t="shared" si="7"/>
        <v>0</v>
      </c>
      <c r="M23" s="8">
        <f t="shared" si="7"/>
        <v>0</v>
      </c>
      <c r="N23" s="8">
        <f t="shared" si="7"/>
        <v>0</v>
      </c>
      <c r="O23" s="8">
        <f t="shared" si="7"/>
        <v>0</v>
      </c>
      <c r="P23" s="8">
        <f t="shared" si="7"/>
        <v>6635583.5765486471</v>
      </c>
      <c r="Q23" s="8">
        <f t="shared" si="7"/>
        <v>3597206</v>
      </c>
      <c r="R23" s="8">
        <f t="shared" si="7"/>
        <v>3038377.5765486476</v>
      </c>
      <c r="S23" s="31">
        <f>+R23/P23</f>
        <v>0.45789153907831465</v>
      </c>
      <c r="T23" s="34"/>
      <c r="U23" s="36"/>
      <c r="V23" s="36"/>
      <c r="W23" s="2"/>
      <c r="Y23" s="20"/>
      <c r="Z23" s="20"/>
      <c r="AA23" s="20"/>
      <c r="AB23" s="20"/>
    </row>
    <row r="24" spans="1:30" x14ac:dyDescent="0.25">
      <c r="A24" s="12" t="s">
        <v>1</v>
      </c>
      <c r="B24" s="8">
        <f t="shared" ref="B24:R24" si="8">+B23+B20</f>
        <v>6486984324</v>
      </c>
      <c r="C24" s="8">
        <f t="shared" si="8"/>
        <v>535813471.90668273</v>
      </c>
      <c r="D24" s="8">
        <f t="shared" si="8"/>
        <v>96667100.719999999</v>
      </c>
      <c r="E24" s="8">
        <f t="shared" si="8"/>
        <v>439146371.1866827</v>
      </c>
      <c r="F24" s="8">
        <f t="shared" si="8"/>
        <v>0</v>
      </c>
      <c r="G24" s="8">
        <f t="shared" si="8"/>
        <v>0</v>
      </c>
      <c r="H24" s="8">
        <f t="shared" si="8"/>
        <v>0</v>
      </c>
      <c r="I24" s="8">
        <f t="shared" si="8"/>
        <v>0</v>
      </c>
      <c r="J24" s="8">
        <f t="shared" si="8"/>
        <v>0</v>
      </c>
      <c r="K24" s="8">
        <f t="shared" si="8"/>
        <v>0</v>
      </c>
      <c r="L24" s="8">
        <f t="shared" si="8"/>
        <v>0</v>
      </c>
      <c r="M24" s="8">
        <f t="shared" si="8"/>
        <v>0</v>
      </c>
      <c r="N24" s="8">
        <f t="shared" si="8"/>
        <v>0</v>
      </c>
      <c r="O24" s="8">
        <f t="shared" si="8"/>
        <v>0</v>
      </c>
      <c r="P24" s="8">
        <f t="shared" si="8"/>
        <v>535813471.90668273</v>
      </c>
      <c r="Q24" s="8">
        <f t="shared" si="8"/>
        <v>96667100.719999999</v>
      </c>
      <c r="R24" s="8">
        <f t="shared" si="8"/>
        <v>439146371.1866827</v>
      </c>
      <c r="S24" s="31">
        <f>+R24/P24</f>
        <v>0.81958814813667924</v>
      </c>
      <c r="T24" s="34"/>
      <c r="U24" s="35"/>
      <c r="V24" s="35"/>
      <c r="W24" s="2"/>
      <c r="X24" s="2"/>
      <c r="Y24" s="20"/>
      <c r="Z24" s="20"/>
      <c r="AA24" s="20"/>
      <c r="AB24" s="20"/>
    </row>
    <row r="25" spans="1:30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9">+C25-D25</f>
        <v>30070217.754686698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P33" si="10">+C25</f>
        <v>126337727.3946867</v>
      </c>
      <c r="Q25" s="4">
        <f t="shared" ref="Q25:Q33" si="11">+D25</f>
        <v>96267509.640000001</v>
      </c>
      <c r="R25" s="6">
        <f t="shared" ref="R25:R33" si="12">+E25</f>
        <v>30070217.754686698</v>
      </c>
      <c r="S25" s="43">
        <f t="shared" ref="S25:S31" si="13">+R25/P25*100</f>
        <v>23.801455333089475</v>
      </c>
      <c r="T25" s="34"/>
      <c r="U25" s="38"/>
      <c r="V25" s="38"/>
      <c r="W25" s="2"/>
      <c r="X25" s="37"/>
      <c r="Y25" s="20"/>
      <c r="Z25" s="20"/>
      <c r="AA25" s="20"/>
      <c r="AB25" s="20"/>
    </row>
    <row r="26" spans="1:30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9"/>
        <v>20972282.5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>
        <f t="shared" si="10"/>
        <v>20972282.5</v>
      </c>
      <c r="Q26" s="4">
        <f t="shared" si="11"/>
        <v>0</v>
      </c>
      <c r="R26" s="6">
        <f t="shared" si="12"/>
        <v>20972282.5</v>
      </c>
      <c r="S26" s="43">
        <f t="shared" si="13"/>
        <v>100</v>
      </c>
      <c r="T26" s="34"/>
      <c r="U26" s="38"/>
      <c r="V26" s="38"/>
      <c r="W26" s="2"/>
      <c r="X26" s="37"/>
      <c r="Y26" s="20"/>
      <c r="Z26" s="20"/>
    </row>
    <row r="27" spans="1:30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9"/>
        <v>11968265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10"/>
        <v>12000000</v>
      </c>
      <c r="Q27" s="4">
        <f t="shared" si="11"/>
        <v>31735</v>
      </c>
      <c r="R27" s="6">
        <f t="shared" si="12"/>
        <v>11968265</v>
      </c>
      <c r="S27" s="43">
        <f t="shared" si="13"/>
        <v>99.735541666666677</v>
      </c>
      <c r="T27" s="34"/>
      <c r="U27" s="38"/>
      <c r="V27" s="38"/>
      <c r="W27" s="2"/>
      <c r="X27" s="2"/>
    </row>
    <row r="28" spans="1:30" x14ac:dyDescent="0.25">
      <c r="A28" s="5" t="s">
        <v>17</v>
      </c>
      <c r="B28" s="4">
        <f>8582072214</f>
        <v>8582072214</v>
      </c>
      <c r="C28" s="4">
        <v>55867726.200000003</v>
      </c>
      <c r="D28" s="4">
        <v>1086170</v>
      </c>
      <c r="E28" s="4">
        <f t="shared" si="9"/>
        <v>54781556.200000003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10"/>
        <v>55867726.200000003</v>
      </c>
      <c r="Q28" s="4">
        <f t="shared" si="11"/>
        <v>1086170</v>
      </c>
      <c r="R28" s="6">
        <f t="shared" si="12"/>
        <v>54781556.200000003</v>
      </c>
      <c r="S28" s="43">
        <f t="shared" si="13"/>
        <v>98.055818495079535</v>
      </c>
      <c r="T28" s="34"/>
      <c r="U28" s="38"/>
      <c r="V28" s="38"/>
      <c r="W28" s="2"/>
      <c r="X28" s="2"/>
    </row>
    <row r="29" spans="1:30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9"/>
        <v>86901963.599999994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10"/>
        <v>95543915.599999994</v>
      </c>
      <c r="Q29" s="4">
        <f t="shared" si="11"/>
        <v>8641952</v>
      </c>
      <c r="R29" s="6">
        <f t="shared" si="12"/>
        <v>86901963.599999994</v>
      </c>
      <c r="S29" s="43">
        <f t="shared" si="13"/>
        <v>90.954994940567417</v>
      </c>
      <c r="T29" s="34"/>
      <c r="U29" s="38"/>
      <c r="V29" s="38"/>
      <c r="W29" s="2"/>
      <c r="X29" s="2"/>
    </row>
    <row r="30" spans="1:30" x14ac:dyDescent="0.25">
      <c r="A30" s="5" t="s">
        <v>57</v>
      </c>
      <c r="B30" s="4">
        <f>737281080</f>
        <v>737281080</v>
      </c>
      <c r="C30" s="4">
        <v>133706950</v>
      </c>
      <c r="D30" s="4">
        <v>117651</v>
      </c>
      <c r="E30" s="4">
        <f t="shared" si="9"/>
        <v>133589299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10"/>
        <v>133706950</v>
      </c>
      <c r="Q30" s="4">
        <f t="shared" si="11"/>
        <v>117651</v>
      </c>
      <c r="R30" s="6">
        <f t="shared" si="12"/>
        <v>133589299</v>
      </c>
      <c r="S30" s="43">
        <f t="shared" si="13"/>
        <v>99.912008313703964</v>
      </c>
      <c r="T30" s="34"/>
      <c r="U30" s="38"/>
      <c r="V30" s="38"/>
      <c r="W30" s="2"/>
      <c r="X30" s="2"/>
    </row>
    <row r="31" spans="1:30" x14ac:dyDescent="0.25">
      <c r="A31" s="5" t="s">
        <v>66</v>
      </c>
      <c r="B31" s="4">
        <f>47254560+28654560</f>
        <v>75909120</v>
      </c>
      <c r="C31" s="4">
        <v>43954560</v>
      </c>
      <c r="D31" s="4">
        <v>0</v>
      </c>
      <c r="E31" s="4">
        <f t="shared" si="9"/>
        <v>43954560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10"/>
        <v>43954560</v>
      </c>
      <c r="Q31" s="4">
        <f t="shared" si="11"/>
        <v>0</v>
      </c>
      <c r="R31" s="6">
        <f t="shared" si="12"/>
        <v>43954560</v>
      </c>
      <c r="S31" s="43">
        <f t="shared" si="13"/>
        <v>100</v>
      </c>
      <c r="T31" s="34"/>
      <c r="U31" s="38"/>
      <c r="V31" s="38"/>
      <c r="W31" s="2"/>
      <c r="X31" s="2"/>
    </row>
    <row r="32" spans="1:30" x14ac:dyDescent="0.25">
      <c r="A32" s="5" t="s">
        <v>90</v>
      </c>
      <c r="B32" s="4">
        <v>1500000000</v>
      </c>
      <c r="C32" s="4">
        <v>0</v>
      </c>
      <c r="D32" s="4">
        <v>0</v>
      </c>
      <c r="E32" s="4">
        <f t="shared" si="9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10"/>
        <v>0</v>
      </c>
      <c r="Q32" s="4">
        <f t="shared" si="11"/>
        <v>0</v>
      </c>
      <c r="R32" s="6">
        <f t="shared" si="12"/>
        <v>0</v>
      </c>
      <c r="S32" s="43">
        <v>0</v>
      </c>
      <c r="T32" s="34"/>
      <c r="U32" s="38"/>
      <c r="V32" s="38"/>
      <c r="W32" s="2"/>
      <c r="X32" s="2"/>
    </row>
    <row r="33" spans="1:27" x14ac:dyDescent="0.25">
      <c r="A33" s="5" t="s">
        <v>91</v>
      </c>
      <c r="B33" s="4">
        <v>150000000</v>
      </c>
      <c r="C33" s="4">
        <v>0</v>
      </c>
      <c r="D33" s="4">
        <v>0</v>
      </c>
      <c r="E33" s="4">
        <f t="shared" si="9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10"/>
        <v>0</v>
      </c>
      <c r="Q33" s="4">
        <f t="shared" si="11"/>
        <v>0</v>
      </c>
      <c r="R33" s="6">
        <f t="shared" si="12"/>
        <v>0</v>
      </c>
      <c r="S33" s="43">
        <v>0</v>
      </c>
      <c r="T33" s="34"/>
      <c r="U33" s="38"/>
      <c r="V33" s="38"/>
      <c r="W33" s="2"/>
      <c r="X33" s="2"/>
    </row>
    <row r="34" spans="1:27" x14ac:dyDescent="0.25">
      <c r="A34" s="12" t="s">
        <v>52</v>
      </c>
      <c r="B34" s="8">
        <f t="shared" ref="B34:R34" si="14">SUM(B25:B33)</f>
        <v>14369801170</v>
      </c>
      <c r="C34" s="8">
        <f t="shared" si="14"/>
        <v>488383161.69468665</v>
      </c>
      <c r="D34" s="8">
        <f t="shared" si="14"/>
        <v>106145017.64</v>
      </c>
      <c r="E34" s="8">
        <f t="shared" si="14"/>
        <v>382238144.05468667</v>
      </c>
      <c r="F34" s="8">
        <f t="shared" si="14"/>
        <v>0</v>
      </c>
      <c r="G34" s="8">
        <f t="shared" si="14"/>
        <v>0</v>
      </c>
      <c r="H34" s="8">
        <f t="shared" si="14"/>
        <v>0</v>
      </c>
      <c r="I34" s="8">
        <f t="shared" si="14"/>
        <v>0</v>
      </c>
      <c r="J34" s="8">
        <f t="shared" si="14"/>
        <v>0</v>
      </c>
      <c r="K34" s="8">
        <f t="shared" si="14"/>
        <v>0</v>
      </c>
      <c r="L34" s="8">
        <f t="shared" si="14"/>
        <v>0</v>
      </c>
      <c r="M34" s="8">
        <f t="shared" si="14"/>
        <v>0</v>
      </c>
      <c r="N34" s="8">
        <f t="shared" si="14"/>
        <v>0</v>
      </c>
      <c r="O34" s="8">
        <f t="shared" si="14"/>
        <v>0</v>
      </c>
      <c r="P34" s="8">
        <f t="shared" si="14"/>
        <v>488383161.69468665</v>
      </c>
      <c r="Q34" s="8">
        <f t="shared" si="14"/>
        <v>106145017.64</v>
      </c>
      <c r="R34" s="8">
        <f t="shared" si="14"/>
        <v>382238144.05468667</v>
      </c>
      <c r="S34" s="31">
        <f>+R34/P34</f>
        <v>0.78266036594775834</v>
      </c>
      <c r="T34" s="34"/>
      <c r="U34" s="39"/>
      <c r="V34" s="39"/>
      <c r="W34" s="2"/>
    </row>
    <row r="35" spans="1:27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9"/>
        <v>5353835.6812000945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ref="P35:P66" si="15">+C35</f>
        <v>26259042.681200095</v>
      </c>
      <c r="Q35" s="4">
        <f t="shared" ref="Q35:Q66" si="16">+D35</f>
        <v>20905207</v>
      </c>
      <c r="R35" s="6">
        <f t="shared" ref="R35:R66" si="17">+E35</f>
        <v>5353835.6812000945</v>
      </c>
      <c r="S35" s="43">
        <f t="shared" ref="S35:S86" si="18">+R35/P35*100</f>
        <v>20.388540992140282</v>
      </c>
      <c r="T35" s="34"/>
      <c r="U35" s="38"/>
      <c r="V35" s="38"/>
      <c r="W35" s="2"/>
      <c r="X35" s="2"/>
      <c r="AA35" s="2"/>
    </row>
    <row r="36" spans="1:27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9"/>
        <v>1078744.4128668979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15"/>
        <v>19146858.412866898</v>
      </c>
      <c r="Q36" s="4">
        <f t="shared" si="16"/>
        <v>18068114</v>
      </c>
      <c r="R36" s="6">
        <f t="shared" si="17"/>
        <v>1078744.4128668979</v>
      </c>
      <c r="S36" s="43">
        <f t="shared" si="18"/>
        <v>5.6340543686371536</v>
      </c>
      <c r="T36" s="34"/>
      <c r="U36" s="38"/>
      <c r="V36" s="38"/>
      <c r="W36" s="2"/>
      <c r="X36" s="2"/>
      <c r="AA36" s="2"/>
    </row>
    <row r="37" spans="1:27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9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15"/>
        <v>0</v>
      </c>
      <c r="Q37" s="4">
        <f t="shared" si="16"/>
        <v>0</v>
      </c>
      <c r="R37" s="6">
        <f t="shared" si="17"/>
        <v>0</v>
      </c>
      <c r="S37" s="43">
        <v>0</v>
      </c>
      <c r="T37" s="34"/>
      <c r="U37" s="38"/>
      <c r="V37" s="38"/>
      <c r="W37" s="2"/>
      <c r="X37" s="2"/>
      <c r="AA37" s="2"/>
    </row>
    <row r="38" spans="1:27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9"/>
        <v>-34000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15"/>
        <v>760000</v>
      </c>
      <c r="Q38" s="4">
        <f t="shared" si="16"/>
        <v>794000</v>
      </c>
      <c r="R38" s="6">
        <f t="shared" si="17"/>
        <v>-34000</v>
      </c>
      <c r="S38" s="43">
        <f t="shared" si="18"/>
        <v>-4.4736842105263159</v>
      </c>
      <c r="T38" s="34"/>
      <c r="U38" s="38"/>
      <c r="V38" s="38"/>
      <c r="W38" s="2"/>
      <c r="X38" s="2"/>
    </row>
    <row r="39" spans="1:27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9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15"/>
        <v>0</v>
      </c>
      <c r="Q39" s="4">
        <f t="shared" si="16"/>
        <v>0</v>
      </c>
      <c r="R39" s="6">
        <f t="shared" si="17"/>
        <v>0</v>
      </c>
      <c r="S39" s="43">
        <v>0</v>
      </c>
      <c r="T39" s="34"/>
      <c r="U39" s="38"/>
      <c r="V39" s="38"/>
      <c r="W39" s="2"/>
      <c r="X39" s="2"/>
    </row>
    <row r="40" spans="1:27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9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15"/>
        <v>0</v>
      </c>
      <c r="Q40" s="4">
        <f t="shared" si="16"/>
        <v>0</v>
      </c>
      <c r="R40" s="6">
        <f t="shared" si="17"/>
        <v>0</v>
      </c>
      <c r="S40" s="43">
        <v>0</v>
      </c>
      <c r="T40" s="34"/>
      <c r="U40" s="38"/>
      <c r="V40" s="38"/>
      <c r="W40" s="2"/>
      <c r="X40" s="2"/>
    </row>
    <row r="41" spans="1:27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9"/>
        <v>534000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15"/>
        <v>11200000</v>
      </c>
      <c r="Q41" s="4">
        <f t="shared" si="16"/>
        <v>10666000</v>
      </c>
      <c r="R41" s="6">
        <f t="shared" si="17"/>
        <v>534000</v>
      </c>
      <c r="S41" s="43">
        <f t="shared" si="18"/>
        <v>4.7678571428571432</v>
      </c>
      <c r="T41" s="34"/>
      <c r="U41" s="38"/>
      <c r="V41" s="38"/>
      <c r="W41" s="2"/>
      <c r="X41" s="2"/>
    </row>
    <row r="42" spans="1:27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9"/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15"/>
        <v>0</v>
      </c>
      <c r="Q42" s="4">
        <f t="shared" si="16"/>
        <v>0</v>
      </c>
      <c r="R42" s="6">
        <f t="shared" si="17"/>
        <v>0</v>
      </c>
      <c r="S42" s="43">
        <v>0</v>
      </c>
      <c r="T42" s="34"/>
      <c r="U42" s="38"/>
      <c r="V42" s="38"/>
      <c r="W42" s="2"/>
      <c r="X42" s="2"/>
    </row>
    <row r="43" spans="1:27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9"/>
        <v>3584000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15"/>
        <v>5760000</v>
      </c>
      <c r="Q43" s="4">
        <f t="shared" si="16"/>
        <v>2176000</v>
      </c>
      <c r="R43" s="6">
        <f t="shared" si="17"/>
        <v>3584000</v>
      </c>
      <c r="S43" s="43">
        <f t="shared" si="18"/>
        <v>62.222222222222221</v>
      </c>
      <c r="T43" s="34"/>
      <c r="U43" s="38"/>
      <c r="V43" s="38"/>
      <c r="W43" s="2"/>
      <c r="X43" s="2"/>
    </row>
    <row r="44" spans="1:27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9"/>
        <v>3980000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f t="shared" si="15"/>
        <v>3980000</v>
      </c>
      <c r="Q44" s="4">
        <f t="shared" si="16"/>
        <v>0</v>
      </c>
      <c r="R44" s="6">
        <f t="shared" si="17"/>
        <v>3980000</v>
      </c>
      <c r="S44" s="43">
        <f t="shared" si="18"/>
        <v>100</v>
      </c>
      <c r="T44" s="34"/>
      <c r="U44" s="38"/>
      <c r="V44" s="38"/>
      <c r="W44" s="2"/>
      <c r="X44" s="2"/>
    </row>
    <row r="45" spans="1:27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9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f t="shared" si="15"/>
        <v>0</v>
      </c>
      <c r="Q45" s="4">
        <f t="shared" si="16"/>
        <v>0</v>
      </c>
      <c r="R45" s="6">
        <f t="shared" si="17"/>
        <v>0</v>
      </c>
      <c r="S45" s="43">
        <v>0</v>
      </c>
      <c r="T45" s="34"/>
      <c r="U45" s="38"/>
      <c r="V45" s="38"/>
      <c r="W45" s="2"/>
      <c r="X45" s="2"/>
    </row>
    <row r="46" spans="1:27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9"/>
        <v>500000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f t="shared" si="15"/>
        <v>500000</v>
      </c>
      <c r="Q46" s="4">
        <f t="shared" si="16"/>
        <v>0</v>
      </c>
      <c r="R46" s="6">
        <f t="shared" si="17"/>
        <v>500000</v>
      </c>
      <c r="S46" s="43">
        <f t="shared" si="18"/>
        <v>100</v>
      </c>
      <c r="T46" s="34"/>
      <c r="U46" s="38"/>
      <c r="V46" s="38"/>
      <c r="W46" s="2"/>
      <c r="X46" s="2"/>
    </row>
    <row r="47" spans="1:27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9"/>
        <v>1350000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15"/>
        <v>1350000</v>
      </c>
      <c r="Q47" s="4">
        <f t="shared" si="16"/>
        <v>0</v>
      </c>
      <c r="R47" s="6">
        <f t="shared" si="17"/>
        <v>1350000</v>
      </c>
      <c r="S47" s="43">
        <f t="shared" si="18"/>
        <v>100</v>
      </c>
      <c r="T47" s="34"/>
      <c r="U47" s="38"/>
      <c r="V47" s="38"/>
      <c r="W47" s="2"/>
      <c r="X47" s="2"/>
    </row>
    <row r="48" spans="1:27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9"/>
        <v>33740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f t="shared" si="15"/>
        <v>500000</v>
      </c>
      <c r="Q48" s="4">
        <f t="shared" si="16"/>
        <v>466260</v>
      </c>
      <c r="R48" s="6">
        <f t="shared" si="17"/>
        <v>33740</v>
      </c>
      <c r="S48" s="43">
        <f t="shared" si="18"/>
        <v>6.7480000000000002</v>
      </c>
      <c r="T48" s="34"/>
      <c r="U48" s="38"/>
      <c r="V48" s="38"/>
      <c r="W48" s="2"/>
      <c r="X48" s="2"/>
    </row>
    <row r="49" spans="1:24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9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15"/>
        <v>0</v>
      </c>
      <c r="Q49" s="4">
        <f t="shared" si="16"/>
        <v>0</v>
      </c>
      <c r="R49" s="6">
        <f t="shared" si="17"/>
        <v>0</v>
      </c>
      <c r="S49" s="43">
        <v>0</v>
      </c>
      <c r="T49" s="34"/>
      <c r="U49" s="38"/>
      <c r="V49" s="38"/>
      <c r="W49" s="2"/>
      <c r="X49" s="2"/>
    </row>
    <row r="50" spans="1:24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9"/>
        <v>-281894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f t="shared" si="15"/>
        <v>3920000</v>
      </c>
      <c r="Q50" s="4">
        <f t="shared" si="16"/>
        <v>4201894</v>
      </c>
      <c r="R50" s="6">
        <f t="shared" si="17"/>
        <v>-281894</v>
      </c>
      <c r="S50" s="43">
        <f t="shared" si="18"/>
        <v>-7.1911734693877554</v>
      </c>
      <c r="T50" s="34">
        <f>+D50+D53+D85+D86</f>
        <v>63447894</v>
      </c>
      <c r="U50" s="38">
        <f>+C50+C52+C53+C54+C58+C66+C74+C85+C86</f>
        <v>83125000</v>
      </c>
      <c r="V50" s="38"/>
      <c r="W50" s="2"/>
      <c r="X50" s="2"/>
    </row>
    <row r="51" spans="1:24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9"/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15"/>
        <v>0</v>
      </c>
      <c r="Q51" s="4">
        <f t="shared" si="16"/>
        <v>0</v>
      </c>
      <c r="R51" s="6">
        <f t="shared" si="17"/>
        <v>0</v>
      </c>
      <c r="S51" s="43" t="e">
        <f t="shared" si="18"/>
        <v>#DIV/0!</v>
      </c>
      <c r="T51" s="34"/>
      <c r="U51" s="38"/>
      <c r="V51" s="38"/>
      <c r="W51" s="2"/>
      <c r="X51" s="2"/>
    </row>
    <row r="52" spans="1:24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9"/>
        <v>3320000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f t="shared" si="15"/>
        <v>3320000</v>
      </c>
      <c r="Q52" s="4">
        <f t="shared" si="16"/>
        <v>0</v>
      </c>
      <c r="R52" s="6">
        <f t="shared" si="17"/>
        <v>3320000</v>
      </c>
      <c r="S52" s="43">
        <f t="shared" si="18"/>
        <v>100</v>
      </c>
      <c r="T52" s="34"/>
      <c r="U52" s="38"/>
      <c r="V52" s="38"/>
      <c r="W52" s="2"/>
      <c r="X52" s="2"/>
    </row>
    <row r="53" spans="1:24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9"/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f t="shared" si="15"/>
        <v>3350000</v>
      </c>
      <c r="Q53" s="4">
        <f t="shared" si="16"/>
        <v>3350000</v>
      </c>
      <c r="R53" s="6">
        <f t="shared" si="17"/>
        <v>0</v>
      </c>
      <c r="S53" s="43">
        <f t="shared" si="18"/>
        <v>0</v>
      </c>
      <c r="T53" s="34"/>
      <c r="U53" s="38"/>
      <c r="V53" s="38"/>
      <c r="W53" s="2"/>
      <c r="X53" s="2"/>
    </row>
    <row r="54" spans="1:24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9"/>
        <v>3340000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f t="shared" si="15"/>
        <v>3340000</v>
      </c>
      <c r="Q54" s="4">
        <f t="shared" si="16"/>
        <v>0</v>
      </c>
      <c r="R54" s="6">
        <f t="shared" si="17"/>
        <v>3340000</v>
      </c>
      <c r="S54" s="43">
        <f t="shared" si="18"/>
        <v>100</v>
      </c>
      <c r="T54" s="34"/>
      <c r="U54" s="38"/>
      <c r="V54" s="38"/>
      <c r="W54" s="2"/>
      <c r="X54" s="2"/>
    </row>
    <row r="55" spans="1:24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9"/>
        <v>1700000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f t="shared" si="15"/>
        <v>1700000</v>
      </c>
      <c r="Q55" s="4">
        <f t="shared" si="16"/>
        <v>0</v>
      </c>
      <c r="R55" s="6">
        <f t="shared" si="17"/>
        <v>1700000</v>
      </c>
      <c r="S55" s="43">
        <f t="shared" si="18"/>
        <v>100</v>
      </c>
      <c r="T55" s="34"/>
      <c r="U55" s="38"/>
      <c r="V55" s="38"/>
      <c r="W55" s="2"/>
      <c r="X55" s="2"/>
    </row>
    <row r="56" spans="1:24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9"/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f t="shared" si="15"/>
        <v>0</v>
      </c>
      <c r="Q56" s="4">
        <f t="shared" si="16"/>
        <v>0</v>
      </c>
      <c r="R56" s="6">
        <f t="shared" si="17"/>
        <v>0</v>
      </c>
      <c r="S56" s="43">
        <v>0</v>
      </c>
      <c r="T56" s="34"/>
      <c r="U56" s="38"/>
      <c r="V56" s="38"/>
      <c r="W56" s="2"/>
      <c r="X56" s="2"/>
    </row>
    <row r="57" spans="1:24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9"/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f t="shared" si="15"/>
        <v>0</v>
      </c>
      <c r="Q57" s="4">
        <f t="shared" si="16"/>
        <v>0</v>
      </c>
      <c r="R57" s="6">
        <f t="shared" si="17"/>
        <v>0</v>
      </c>
      <c r="S57" s="43">
        <v>0</v>
      </c>
      <c r="T57" s="34"/>
      <c r="U57" s="38"/>
      <c r="V57" s="38"/>
      <c r="W57" s="2"/>
      <c r="X57" s="2"/>
    </row>
    <row r="58" spans="1:24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9"/>
        <v>2000000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15"/>
        <v>2000000</v>
      </c>
      <c r="Q58" s="4">
        <f t="shared" si="16"/>
        <v>0</v>
      </c>
      <c r="R58" s="6">
        <f t="shared" si="17"/>
        <v>2000000</v>
      </c>
      <c r="S58" s="43">
        <f t="shared" si="18"/>
        <v>100</v>
      </c>
      <c r="T58" s="34"/>
      <c r="U58" s="38"/>
      <c r="V58" s="38"/>
      <c r="W58" s="2"/>
      <c r="X58" s="2"/>
    </row>
    <row r="59" spans="1:24" hidden="1" x14ac:dyDescent="0.25">
      <c r="A59" s="5" t="s">
        <v>28</v>
      </c>
      <c r="B59" s="4"/>
      <c r="C59" s="4">
        <v>0</v>
      </c>
      <c r="D59" s="4">
        <v>0</v>
      </c>
      <c r="E59" s="4">
        <f t="shared" si="9"/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f t="shared" si="15"/>
        <v>0</v>
      </c>
      <c r="Q59" s="4">
        <f t="shared" si="16"/>
        <v>0</v>
      </c>
      <c r="R59" s="6">
        <f t="shared" si="17"/>
        <v>0</v>
      </c>
      <c r="S59" s="43" t="e">
        <f t="shared" si="18"/>
        <v>#DIV/0!</v>
      </c>
      <c r="T59" s="34"/>
      <c r="U59" s="38"/>
      <c r="V59" s="38"/>
      <c r="W59" s="2"/>
      <c r="X59" s="2"/>
    </row>
    <row r="60" spans="1:24" hidden="1" x14ac:dyDescent="0.25">
      <c r="A60" s="5" t="s">
        <v>29</v>
      </c>
      <c r="B60" s="4"/>
      <c r="C60" s="4"/>
      <c r="D60" s="4"/>
      <c r="E60" s="4">
        <f t="shared" si="9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f t="shared" si="15"/>
        <v>0</v>
      </c>
      <c r="Q60" s="4">
        <f t="shared" si="16"/>
        <v>0</v>
      </c>
      <c r="R60" s="6">
        <f t="shared" si="17"/>
        <v>0</v>
      </c>
      <c r="S60" s="43" t="e">
        <f t="shared" si="18"/>
        <v>#DIV/0!</v>
      </c>
      <c r="T60" s="34"/>
      <c r="U60" s="38"/>
      <c r="V60" s="38"/>
      <c r="W60" s="2"/>
      <c r="X60" s="2"/>
    </row>
    <row r="61" spans="1:24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9"/>
        <v>100000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f t="shared" si="15"/>
        <v>100000</v>
      </c>
      <c r="Q61" s="4">
        <f t="shared" si="16"/>
        <v>0</v>
      </c>
      <c r="R61" s="6">
        <f t="shared" si="17"/>
        <v>100000</v>
      </c>
      <c r="S61" s="43">
        <f t="shared" si="18"/>
        <v>100</v>
      </c>
      <c r="T61" s="34"/>
      <c r="U61" s="38"/>
      <c r="V61" s="38"/>
      <c r="W61" s="2"/>
      <c r="X61" s="2"/>
    </row>
    <row r="62" spans="1:24" hidden="1" x14ac:dyDescent="0.25">
      <c r="A62" s="5" t="s">
        <v>30</v>
      </c>
      <c r="B62" s="4"/>
      <c r="C62" s="4"/>
      <c r="D62" s="4"/>
      <c r="E62" s="4">
        <f t="shared" si="9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f t="shared" si="15"/>
        <v>0</v>
      </c>
      <c r="Q62" s="4">
        <f t="shared" si="16"/>
        <v>0</v>
      </c>
      <c r="R62" s="6">
        <f t="shared" si="17"/>
        <v>0</v>
      </c>
      <c r="S62" s="43" t="e">
        <f t="shared" si="18"/>
        <v>#DIV/0!</v>
      </c>
      <c r="T62" s="34"/>
      <c r="U62" s="38"/>
      <c r="V62" s="38"/>
      <c r="W62" s="2"/>
      <c r="X62" s="2"/>
    </row>
    <row r="63" spans="1:24" hidden="1" x14ac:dyDescent="0.25">
      <c r="A63" s="5" t="s">
        <v>31</v>
      </c>
      <c r="B63" s="4"/>
      <c r="C63" s="4"/>
      <c r="D63" s="4"/>
      <c r="E63" s="4">
        <f t="shared" si="9"/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 t="shared" si="15"/>
        <v>0</v>
      </c>
      <c r="Q63" s="4">
        <f t="shared" si="16"/>
        <v>0</v>
      </c>
      <c r="R63" s="6">
        <f t="shared" si="17"/>
        <v>0</v>
      </c>
      <c r="S63" s="43" t="e">
        <f t="shared" si="18"/>
        <v>#DIV/0!</v>
      </c>
      <c r="T63" s="34"/>
      <c r="U63" s="38"/>
      <c r="V63" s="38"/>
      <c r="W63" s="2"/>
      <c r="X63" s="2"/>
    </row>
    <row r="64" spans="1:24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9"/>
        <v>587200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f t="shared" si="15"/>
        <v>2700000</v>
      </c>
      <c r="Q64" s="4">
        <f t="shared" si="16"/>
        <v>2112800</v>
      </c>
      <c r="R64" s="6">
        <f t="shared" si="17"/>
        <v>587200</v>
      </c>
      <c r="S64" s="43">
        <f t="shared" si="18"/>
        <v>21.748148148148147</v>
      </c>
      <c r="T64" s="34"/>
      <c r="U64" s="38"/>
      <c r="V64" s="38"/>
      <c r="W64" s="2"/>
      <c r="X64" s="2"/>
    </row>
    <row r="65" spans="1:24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9"/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f t="shared" si="15"/>
        <v>0</v>
      </c>
      <c r="Q65" s="4">
        <f t="shared" si="16"/>
        <v>0</v>
      </c>
      <c r="R65" s="6">
        <f t="shared" si="17"/>
        <v>0</v>
      </c>
      <c r="S65" s="43">
        <v>0</v>
      </c>
      <c r="T65" s="34"/>
      <c r="U65" s="38"/>
      <c r="V65" s="38"/>
      <c r="W65" s="2"/>
      <c r="X65" s="2"/>
    </row>
    <row r="66" spans="1:24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9"/>
        <v>3000000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f t="shared" si="15"/>
        <v>3000000</v>
      </c>
      <c r="Q66" s="4">
        <f t="shared" si="16"/>
        <v>0</v>
      </c>
      <c r="R66" s="6">
        <f t="shared" si="17"/>
        <v>3000000</v>
      </c>
      <c r="S66" s="43">
        <f t="shared" si="18"/>
        <v>100</v>
      </c>
      <c r="T66" s="34"/>
      <c r="U66" s="38"/>
      <c r="V66" s="38"/>
      <c r="W66" s="2"/>
      <c r="X66" s="2"/>
    </row>
    <row r="67" spans="1:24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9"/>
        <v>-626080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f t="shared" ref="P67:P86" si="19">+C67</f>
        <v>1500000</v>
      </c>
      <c r="Q67" s="4">
        <f t="shared" ref="Q67:Q86" si="20">+D67</f>
        <v>2126080</v>
      </c>
      <c r="R67" s="6">
        <f t="shared" ref="R67:R86" si="21">+E67</f>
        <v>-626080</v>
      </c>
      <c r="S67" s="43">
        <f t="shared" si="18"/>
        <v>-41.738666666666667</v>
      </c>
      <c r="T67" s="34"/>
      <c r="U67" s="38"/>
      <c r="V67" s="38"/>
      <c r="W67" s="2"/>
      <c r="X67" s="2"/>
    </row>
    <row r="68" spans="1:24" x14ac:dyDescent="0.25">
      <c r="A68" s="5" t="s">
        <v>78</v>
      </c>
      <c r="B68" s="4">
        <v>4000000</v>
      </c>
      <c r="C68" s="4">
        <v>1500000</v>
      </c>
      <c r="D68" s="4">
        <v>7200</v>
      </c>
      <c r="E68" s="4">
        <f t="shared" si="9"/>
        <v>1492800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f t="shared" si="19"/>
        <v>1500000</v>
      </c>
      <c r="Q68" s="4">
        <f t="shared" si="20"/>
        <v>7200</v>
      </c>
      <c r="R68" s="6">
        <f t="shared" si="21"/>
        <v>1492800</v>
      </c>
      <c r="S68" s="43">
        <f t="shared" si="18"/>
        <v>99.52</v>
      </c>
      <c r="T68" s="34"/>
      <c r="U68" s="38"/>
      <c r="V68" s="38"/>
      <c r="W68" s="2"/>
      <c r="X68" s="2"/>
    </row>
    <row r="69" spans="1:24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9"/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f t="shared" si="19"/>
        <v>0</v>
      </c>
      <c r="Q69" s="4">
        <f t="shared" si="20"/>
        <v>0</v>
      </c>
      <c r="R69" s="6">
        <f t="shared" si="21"/>
        <v>0</v>
      </c>
      <c r="S69" s="43">
        <v>0</v>
      </c>
      <c r="T69" s="34"/>
      <c r="U69" s="38"/>
      <c r="V69" s="38"/>
      <c r="W69" s="2"/>
      <c r="X69" s="2"/>
    </row>
    <row r="70" spans="1:24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9"/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 t="shared" si="19"/>
        <v>0</v>
      </c>
      <c r="Q70" s="4">
        <f t="shared" si="20"/>
        <v>0</v>
      </c>
      <c r="R70" s="6">
        <f t="shared" si="21"/>
        <v>0</v>
      </c>
      <c r="S70" s="43">
        <v>0</v>
      </c>
      <c r="T70" s="34"/>
      <c r="U70" s="38"/>
      <c r="V70" s="38"/>
      <c r="W70" s="2"/>
      <c r="X70" s="2"/>
    </row>
    <row r="71" spans="1:24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9"/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f t="shared" si="19"/>
        <v>0</v>
      </c>
      <c r="Q71" s="4">
        <f t="shared" si="20"/>
        <v>0</v>
      </c>
      <c r="R71" s="6">
        <f t="shared" si="21"/>
        <v>0</v>
      </c>
      <c r="S71" s="43">
        <v>0</v>
      </c>
      <c r="T71" s="34"/>
      <c r="U71" s="38"/>
      <c r="V71" s="38"/>
      <c r="W71" s="2"/>
      <c r="X71" s="2"/>
    </row>
    <row r="72" spans="1:24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9"/>
        <v>-51000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f t="shared" si="19"/>
        <v>5400000</v>
      </c>
      <c r="Q72" s="4">
        <f t="shared" si="20"/>
        <v>5451000</v>
      </c>
      <c r="R72" s="6">
        <f t="shared" si="21"/>
        <v>-51000</v>
      </c>
      <c r="S72" s="43">
        <f t="shared" si="18"/>
        <v>-0.94444444444444442</v>
      </c>
      <c r="T72" s="34"/>
      <c r="U72" s="38"/>
      <c r="V72" s="38"/>
      <c r="W72" s="2"/>
      <c r="X72" s="2"/>
    </row>
    <row r="73" spans="1:24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9"/>
        <v>2300000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f t="shared" si="19"/>
        <v>2300000</v>
      </c>
      <c r="Q73" s="4">
        <f t="shared" si="20"/>
        <v>0</v>
      </c>
      <c r="R73" s="6">
        <f t="shared" si="21"/>
        <v>2300000</v>
      </c>
      <c r="S73" s="43">
        <f t="shared" si="18"/>
        <v>100</v>
      </c>
      <c r="T73" s="34"/>
      <c r="U73" s="38"/>
      <c r="V73" s="38"/>
      <c r="W73" s="2"/>
      <c r="X73" s="2"/>
    </row>
    <row r="74" spans="1:24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9"/>
        <v>3000000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f t="shared" si="19"/>
        <v>3000000</v>
      </c>
      <c r="Q74" s="4">
        <f t="shared" si="20"/>
        <v>0</v>
      </c>
      <c r="R74" s="6">
        <f t="shared" si="21"/>
        <v>3000000</v>
      </c>
      <c r="S74" s="43">
        <f t="shared" si="18"/>
        <v>100</v>
      </c>
      <c r="T74" s="34"/>
      <c r="U74" s="38"/>
      <c r="V74" s="38"/>
      <c r="W74" s="2"/>
      <c r="X74" s="2"/>
    </row>
    <row r="75" spans="1:24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9"/>
        <v>224000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f t="shared" si="19"/>
        <v>224000</v>
      </c>
      <c r="Q75" s="4">
        <f t="shared" si="20"/>
        <v>0</v>
      </c>
      <c r="R75" s="6">
        <f t="shared" si="21"/>
        <v>224000</v>
      </c>
      <c r="S75" s="43">
        <f t="shared" si="18"/>
        <v>100</v>
      </c>
      <c r="T75" s="34"/>
      <c r="U75" s="38"/>
      <c r="V75" s="38"/>
      <c r="W75" s="2"/>
      <c r="X75" s="2"/>
    </row>
    <row r="76" spans="1:24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9"/>
        <v>-3273800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f t="shared" si="19"/>
        <v>1200000</v>
      </c>
      <c r="Q76" s="4">
        <f t="shared" si="20"/>
        <v>4473800</v>
      </c>
      <c r="R76" s="6">
        <f t="shared" si="21"/>
        <v>-3273800</v>
      </c>
      <c r="S76" s="43">
        <f t="shared" si="18"/>
        <v>-272.81666666666666</v>
      </c>
      <c r="T76" s="34"/>
      <c r="U76" s="38"/>
      <c r="V76" s="38"/>
      <c r="W76" s="2"/>
      <c r="X76" s="2"/>
    </row>
    <row r="77" spans="1:24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9"/>
        <v>519000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f t="shared" si="19"/>
        <v>519000</v>
      </c>
      <c r="Q77" s="4">
        <f t="shared" si="20"/>
        <v>0</v>
      </c>
      <c r="R77" s="6">
        <f t="shared" si="21"/>
        <v>519000</v>
      </c>
      <c r="S77" s="43">
        <f t="shared" si="18"/>
        <v>100</v>
      </c>
      <c r="T77" s="34"/>
      <c r="U77" s="38"/>
      <c r="V77" s="38"/>
      <c r="W77" s="2"/>
      <c r="X77" s="2"/>
    </row>
    <row r="78" spans="1:24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9"/>
        <v>3850540.5192123605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f t="shared" si="19"/>
        <v>5061458.5192123605</v>
      </c>
      <c r="Q78" s="4">
        <f t="shared" si="20"/>
        <v>1210918</v>
      </c>
      <c r="R78" s="6">
        <f t="shared" si="21"/>
        <v>3850540.5192123605</v>
      </c>
      <c r="S78" s="43">
        <f t="shared" si="18"/>
        <v>76.075710283832635</v>
      </c>
      <c r="T78" s="34"/>
      <c r="U78" s="38"/>
      <c r="V78" s="38"/>
      <c r="W78" s="2"/>
      <c r="X78" s="2"/>
    </row>
    <row r="79" spans="1:24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9"/>
        <v>3000000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19"/>
        <v>3000000</v>
      </c>
      <c r="Q79" s="4">
        <f t="shared" si="20"/>
        <v>0</v>
      </c>
      <c r="R79" s="6">
        <f t="shared" si="21"/>
        <v>3000000</v>
      </c>
      <c r="S79" s="43">
        <f t="shared" si="18"/>
        <v>100</v>
      </c>
      <c r="T79" s="34"/>
      <c r="U79" s="38"/>
      <c r="V79" s="38"/>
      <c r="W79" s="2"/>
      <c r="X79" s="2"/>
    </row>
    <row r="80" spans="1:24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9"/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f t="shared" si="19"/>
        <v>0</v>
      </c>
      <c r="Q80" s="4">
        <f t="shared" si="20"/>
        <v>0</v>
      </c>
      <c r="R80" s="6">
        <f t="shared" si="21"/>
        <v>0</v>
      </c>
      <c r="S80" s="43">
        <v>0</v>
      </c>
      <c r="T80" s="34"/>
      <c r="U80" s="38"/>
      <c r="V80" s="38"/>
      <c r="W80" s="2"/>
      <c r="X80" s="2"/>
    </row>
    <row r="81" spans="1:27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9"/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f t="shared" si="19"/>
        <v>0</v>
      </c>
      <c r="Q81" s="4">
        <f t="shared" si="20"/>
        <v>0</v>
      </c>
      <c r="R81" s="6">
        <f t="shared" si="21"/>
        <v>0</v>
      </c>
      <c r="S81" s="43">
        <v>0</v>
      </c>
      <c r="T81" s="34"/>
      <c r="U81" s="38"/>
      <c r="V81" s="38"/>
      <c r="W81" s="2"/>
      <c r="X81" s="2"/>
    </row>
    <row r="82" spans="1:27" hidden="1" x14ac:dyDescent="0.25">
      <c r="A82" s="5" t="s">
        <v>34</v>
      </c>
      <c r="B82" s="4"/>
      <c r="C82" s="4"/>
      <c r="D82" s="4"/>
      <c r="E82" s="4">
        <f t="shared" si="9"/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f t="shared" si="19"/>
        <v>0</v>
      </c>
      <c r="Q82" s="4">
        <f t="shared" si="20"/>
        <v>0</v>
      </c>
      <c r="R82" s="6">
        <f t="shared" si="21"/>
        <v>0</v>
      </c>
      <c r="S82" s="43" t="e">
        <f t="shared" si="18"/>
        <v>#DIV/0!</v>
      </c>
      <c r="T82" s="34"/>
      <c r="U82" s="38"/>
      <c r="V82" s="38"/>
      <c r="W82" s="2"/>
      <c r="X82" s="2"/>
    </row>
    <row r="83" spans="1:27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9"/>
        <v>2000000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f t="shared" si="19"/>
        <v>2000000</v>
      </c>
      <c r="Q83" s="4">
        <f t="shared" si="20"/>
        <v>0</v>
      </c>
      <c r="R83" s="6">
        <f t="shared" si="21"/>
        <v>2000000</v>
      </c>
      <c r="S83" s="43">
        <f t="shared" si="18"/>
        <v>100</v>
      </c>
      <c r="T83" s="34"/>
      <c r="U83" s="38"/>
      <c r="V83" s="38"/>
      <c r="W83" s="2"/>
      <c r="X83" s="2"/>
    </row>
    <row r="84" spans="1:27" hidden="1" x14ac:dyDescent="0.25">
      <c r="A84" s="5" t="s">
        <v>56</v>
      </c>
      <c r="B84" s="4"/>
      <c r="C84" s="4"/>
      <c r="D84" s="4"/>
      <c r="E84" s="4">
        <f t="shared" si="9"/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f t="shared" si="19"/>
        <v>0</v>
      </c>
      <c r="Q84" s="4">
        <f t="shared" si="20"/>
        <v>0</v>
      </c>
      <c r="R84" s="6">
        <f t="shared" si="21"/>
        <v>0</v>
      </c>
      <c r="S84" s="43" t="e">
        <f t="shared" si="18"/>
        <v>#DIV/0!</v>
      </c>
      <c r="T84" s="34"/>
      <c r="U84" s="38"/>
      <c r="V84" s="38"/>
      <c r="W84" s="2"/>
      <c r="X84" s="2"/>
    </row>
    <row r="85" spans="1:27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9"/>
        <v>-220000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f t="shared" si="19"/>
        <v>2100000</v>
      </c>
      <c r="Q85" s="4">
        <f t="shared" si="20"/>
        <v>2320000</v>
      </c>
      <c r="R85" s="6">
        <f t="shared" si="21"/>
        <v>-220000</v>
      </c>
      <c r="S85" s="43">
        <f t="shared" si="18"/>
        <v>-10.476190476190476</v>
      </c>
      <c r="T85" s="34"/>
      <c r="U85" s="38"/>
      <c r="V85" s="38"/>
      <c r="W85" s="2"/>
      <c r="X85" s="2"/>
    </row>
    <row r="86" spans="1:27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9"/>
        <v>5519000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f t="shared" si="19"/>
        <v>59095000</v>
      </c>
      <c r="Q86" s="4">
        <f t="shared" si="20"/>
        <v>53576000</v>
      </c>
      <c r="R86" s="6">
        <f t="shared" si="21"/>
        <v>5519000</v>
      </c>
      <c r="S86" s="43">
        <f t="shared" si="18"/>
        <v>9.3391995938742696</v>
      </c>
      <c r="T86" s="34"/>
      <c r="U86" s="38"/>
      <c r="V86" s="38"/>
      <c r="W86" s="2"/>
      <c r="X86" s="2"/>
    </row>
    <row r="87" spans="1:27" x14ac:dyDescent="0.25">
      <c r="A87" s="12" t="s">
        <v>53</v>
      </c>
      <c r="B87" s="8">
        <f>SUM(B35:B86)</f>
        <v>2441516142</v>
      </c>
      <c r="C87" s="8">
        <f>SUM(C35:C86)</f>
        <v>179785359.61327934</v>
      </c>
      <c r="D87" s="8">
        <f>SUM(D35:D86)</f>
        <v>131905273</v>
      </c>
      <c r="E87" s="8">
        <f>SUM(E35:E86)</f>
        <v>47880086.61327935</v>
      </c>
      <c r="F87" s="8">
        <f t="shared" ref="F87:R87" si="22">SUM(F35:F86)</f>
        <v>0</v>
      </c>
      <c r="G87" s="8">
        <f t="shared" si="22"/>
        <v>0</v>
      </c>
      <c r="H87" s="8">
        <f t="shared" si="22"/>
        <v>0</v>
      </c>
      <c r="I87" s="8">
        <f t="shared" si="22"/>
        <v>0</v>
      </c>
      <c r="J87" s="8">
        <f t="shared" si="22"/>
        <v>0</v>
      </c>
      <c r="K87" s="8">
        <f t="shared" si="22"/>
        <v>0</v>
      </c>
      <c r="L87" s="8">
        <f t="shared" si="22"/>
        <v>0</v>
      </c>
      <c r="M87" s="8">
        <f t="shared" si="22"/>
        <v>0</v>
      </c>
      <c r="N87" s="8">
        <f t="shared" si="22"/>
        <v>0</v>
      </c>
      <c r="O87" s="8">
        <f t="shared" si="22"/>
        <v>0</v>
      </c>
      <c r="P87" s="8">
        <f t="shared" si="22"/>
        <v>179785359.61327934</v>
      </c>
      <c r="Q87" s="8">
        <f t="shared" si="22"/>
        <v>131905273</v>
      </c>
      <c r="R87" s="8">
        <f t="shared" si="22"/>
        <v>47880086.61327935</v>
      </c>
      <c r="S87" s="31">
        <f>+R87/P87</f>
        <v>0.26631805123770946</v>
      </c>
      <c r="T87" s="34"/>
      <c r="U87" s="39"/>
      <c r="V87" s="39"/>
      <c r="W87" s="2"/>
      <c r="X87" s="2"/>
      <c r="Z87" s="2"/>
    </row>
    <row r="88" spans="1:27" s="1" customFormat="1" x14ac:dyDescent="0.25">
      <c r="A88" s="12" t="s">
        <v>62</v>
      </c>
      <c r="B88" s="15">
        <f t="shared" ref="B88:R88" si="23">+B87+B34+B24</f>
        <v>23298301636</v>
      </c>
      <c r="C88" s="15">
        <f t="shared" si="23"/>
        <v>1203981993.2146487</v>
      </c>
      <c r="D88" s="15">
        <f t="shared" si="23"/>
        <v>334717391.36000001</v>
      </c>
      <c r="E88" s="15">
        <f t="shared" si="23"/>
        <v>869264601.85464871</v>
      </c>
      <c r="F88" s="15">
        <f t="shared" si="23"/>
        <v>0</v>
      </c>
      <c r="G88" s="15">
        <f t="shared" si="23"/>
        <v>0</v>
      </c>
      <c r="H88" s="15">
        <f t="shared" si="23"/>
        <v>0</v>
      </c>
      <c r="I88" s="15">
        <f t="shared" si="23"/>
        <v>0</v>
      </c>
      <c r="J88" s="15">
        <f t="shared" si="23"/>
        <v>0</v>
      </c>
      <c r="K88" s="15">
        <f t="shared" si="23"/>
        <v>0</v>
      </c>
      <c r="L88" s="15">
        <f t="shared" si="23"/>
        <v>0</v>
      </c>
      <c r="M88" s="15">
        <f t="shared" si="23"/>
        <v>0</v>
      </c>
      <c r="N88" s="15">
        <f t="shared" si="23"/>
        <v>0</v>
      </c>
      <c r="O88" s="15">
        <f t="shared" si="23"/>
        <v>0</v>
      </c>
      <c r="P88" s="15">
        <f t="shared" si="23"/>
        <v>1203981993.2146487</v>
      </c>
      <c r="Q88" s="15">
        <f t="shared" si="23"/>
        <v>334717391.36000001</v>
      </c>
      <c r="R88" s="15">
        <f t="shared" si="23"/>
        <v>869264601.85464871</v>
      </c>
      <c r="S88" s="31">
        <f>+R88/P88</f>
        <v>0.72199136428419508</v>
      </c>
      <c r="T88" s="34"/>
      <c r="U88" s="40"/>
      <c r="V88" s="40"/>
      <c r="W88" s="2"/>
      <c r="X88" s="2"/>
    </row>
    <row r="89" spans="1:27" ht="19.5" thickBot="1" x14ac:dyDescent="0.3">
      <c r="A89" s="13" t="s">
        <v>0</v>
      </c>
      <c r="B89" s="9">
        <f t="shared" ref="B89:R89" si="24">+B12-B88</f>
        <v>-18864299629.952744</v>
      </c>
      <c r="C89" s="9">
        <f t="shared" si="24"/>
        <v>-822989643.21464872</v>
      </c>
      <c r="D89" s="9">
        <f t="shared" si="24"/>
        <v>-299698994.05000001</v>
      </c>
      <c r="E89" s="9">
        <f t="shared" si="24"/>
        <v>-523290649.16464871</v>
      </c>
      <c r="F89" s="9">
        <f t="shared" si="24"/>
        <v>0</v>
      </c>
      <c r="G89" s="9">
        <f t="shared" si="24"/>
        <v>0</v>
      </c>
      <c r="H89" s="9">
        <f t="shared" si="24"/>
        <v>0</v>
      </c>
      <c r="I89" s="9">
        <f t="shared" si="24"/>
        <v>0</v>
      </c>
      <c r="J89" s="9">
        <f t="shared" si="24"/>
        <v>0</v>
      </c>
      <c r="K89" s="9">
        <f t="shared" si="24"/>
        <v>0</v>
      </c>
      <c r="L89" s="9">
        <f t="shared" si="24"/>
        <v>0</v>
      </c>
      <c r="M89" s="9">
        <f t="shared" si="24"/>
        <v>0</v>
      </c>
      <c r="N89" s="9">
        <f t="shared" si="24"/>
        <v>0</v>
      </c>
      <c r="O89" s="9">
        <f t="shared" si="24"/>
        <v>0</v>
      </c>
      <c r="P89" s="9">
        <f t="shared" si="24"/>
        <v>-822989643.21464872</v>
      </c>
      <c r="Q89" s="9">
        <f t="shared" si="24"/>
        <v>-299698994.05000001</v>
      </c>
      <c r="R89" s="9">
        <f t="shared" si="24"/>
        <v>-523290649.16464871</v>
      </c>
      <c r="S89" s="32">
        <f>+R89/P89</f>
        <v>0.63584111109909347</v>
      </c>
      <c r="T89" s="34"/>
      <c r="U89" s="41"/>
      <c r="V89" s="41"/>
      <c r="W89" s="2"/>
      <c r="X89" s="2"/>
    </row>
    <row r="90" spans="1:27" x14ac:dyDescent="0.25">
      <c r="D90" s="2"/>
      <c r="F90" s="2"/>
      <c r="I90" s="2"/>
      <c r="K90" s="2"/>
      <c r="L90" s="2"/>
      <c r="M90" s="2"/>
      <c r="N90" s="2"/>
      <c r="X90" s="2"/>
    </row>
    <row r="91" spans="1:27" x14ac:dyDescent="0.25">
      <c r="F91" s="2" t="s">
        <v>59</v>
      </c>
      <c r="I91" s="2"/>
      <c r="K91" s="2"/>
      <c r="R91" s="2"/>
      <c r="U91" s="2"/>
      <c r="X91" s="2" t="e">
        <f>+#REF!</f>
        <v>#REF!</v>
      </c>
      <c r="Y91" s="20"/>
      <c r="AA91" s="2"/>
    </row>
    <row r="92" spans="1:27" x14ac:dyDescent="0.25">
      <c r="B92" s="2"/>
      <c r="F92" s="2"/>
      <c r="I92" s="2"/>
      <c r="K92" s="2"/>
      <c r="X92" s="2">
        <f>815000000*1.07</f>
        <v>872050000</v>
      </c>
      <c r="Y92" s="20"/>
      <c r="AA92" s="2"/>
    </row>
    <row r="93" spans="1:27" x14ac:dyDescent="0.25">
      <c r="B93" s="2"/>
      <c r="K93" s="2"/>
      <c r="R93" s="3"/>
      <c r="U93" s="2"/>
      <c r="X93" s="2">
        <v>-1173139539</v>
      </c>
      <c r="Y93" s="20"/>
    </row>
    <row r="94" spans="1:27" x14ac:dyDescent="0.25">
      <c r="K94" s="2"/>
      <c r="R94" s="2"/>
      <c r="X94" s="2">
        <v>-272818809</v>
      </c>
      <c r="Y94" s="20">
        <v>371527244</v>
      </c>
      <c r="Z94" s="2">
        <f>+Y94+X94</f>
        <v>98708435</v>
      </c>
    </row>
    <row r="95" spans="1:27" x14ac:dyDescent="0.25">
      <c r="B95" s="2"/>
      <c r="K95" s="2"/>
      <c r="R95" s="2"/>
      <c r="X95" s="2">
        <f>-(2000000-1920114)*12</f>
        <v>-958632</v>
      </c>
      <c r="Y95" s="2"/>
    </row>
    <row r="96" spans="1:27" x14ac:dyDescent="0.25">
      <c r="D96" s="2">
        <f>+D13+D21+D25+D35+D36</f>
        <v>224928906.36000001</v>
      </c>
      <c r="E96" s="2"/>
      <c r="K96" s="2"/>
      <c r="R96" s="3"/>
      <c r="X96" s="2">
        <v>-49700000</v>
      </c>
      <c r="Y96" s="2"/>
    </row>
    <row r="97" spans="3:24" x14ac:dyDescent="0.25">
      <c r="C97" s="3"/>
      <c r="D97" s="3"/>
      <c r="E97" s="42"/>
      <c r="R97" s="24"/>
      <c r="X97" s="2">
        <f>-R33</f>
        <v>0</v>
      </c>
    </row>
    <row r="98" spans="3:24" x14ac:dyDescent="0.25">
      <c r="D98" s="2">
        <f>198741666-D96</f>
        <v>-26187240.360000014</v>
      </c>
      <c r="X98" s="2">
        <f>-R81</f>
        <v>0</v>
      </c>
    </row>
    <row r="99" spans="3:24" x14ac:dyDescent="0.25">
      <c r="D99">
        <f>+[19]EjecucionPptalPasiva!$S$11</f>
        <v>308530151</v>
      </c>
      <c r="X99" s="2">
        <f>+W23</f>
        <v>0</v>
      </c>
    </row>
    <row r="100" spans="3:24" x14ac:dyDescent="0.25">
      <c r="D100" s="2">
        <f>+D99-D88</f>
        <v>-26187240.360000014</v>
      </c>
      <c r="X100" s="2" t="e">
        <f>SUM(X91:X99)</f>
        <v>#REF!</v>
      </c>
    </row>
    <row r="101" spans="3:24" x14ac:dyDescent="0.25">
      <c r="X101" s="2" t="e">
        <f>+X100-R89</f>
        <v>#REF!</v>
      </c>
    </row>
  </sheetData>
  <autoFilter ref="A5:S89" xr:uid="{4C861BE8-7E5D-4966-A65F-7599F5FEBCAA}"/>
  <mergeCells count="4">
    <mergeCell ref="A1:C1"/>
    <mergeCell ref="A3:S3"/>
    <mergeCell ref="P4:S4"/>
    <mergeCell ref="C4:E4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fdd9a5179c0726be441dcaf29a862f93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80590b0a36ee7e8bc739f60b0312d037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B3523-AB61-47C1-90C2-93D428F47119}">
  <ds:schemaRefs>
    <ds:schemaRef ds:uri="http://schemas.microsoft.com/office/2006/metadata/properties"/>
    <ds:schemaRef ds:uri="ad235908-71e9-4a93-8573-0051611839c1"/>
    <ds:schemaRef ds:uri="http://www.w3.org/XML/1998/namespace"/>
    <ds:schemaRef ds:uri="http://schemas.microsoft.com/office/2006/documentManagement/types"/>
    <ds:schemaRef ds:uri="da22d1dd-5ebb-4fec-87c6-eff43ee1d2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33DCCC-C4EA-4FBF-B0EF-41F66EE5CC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96E7D1-AF9D-4C74-8F4E-A820F59BC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202302M</vt:lpstr>
      <vt:lpstr>202401anual</vt:lpstr>
      <vt:lpstr>2024Ej</vt:lpstr>
      <vt:lpstr>202301</vt:lpstr>
      <vt:lpstr>'202301'!Área_de_impresión</vt:lpstr>
      <vt:lpstr>'202302M'!Área_de_impresión</vt:lpstr>
      <vt:lpstr>'202401anual'!Área_de_impresión</vt:lpstr>
      <vt:lpstr>'2024Ej'!Área_de_impresión</vt:lpstr>
      <vt:lpstr>'202301'!Títulos_a_imprimir</vt:lpstr>
      <vt:lpstr>'202302M'!Títulos_a_imprimir</vt:lpstr>
      <vt:lpstr>'202401anual'!Títulos_a_imprimir</vt:lpstr>
      <vt:lpstr>'2024Ej'!Títulos_a_imprimir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DANIEL ZAPATA YEPES</dc:creator>
  <cp:lastModifiedBy>Idalmy Palacios</cp:lastModifiedBy>
  <cp:lastPrinted>2024-05-22T11:10:28Z</cp:lastPrinted>
  <dcterms:created xsi:type="dcterms:W3CDTF">2021-06-03T01:26:57Z</dcterms:created>
  <dcterms:modified xsi:type="dcterms:W3CDTF">2024-12-13T19:24:49Z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2021-06-03T01:26:58Z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57355c52-4144-49a0-b163-dcd799bb362e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0x010100234B6F753C52164FB1D554AAB843CFC0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